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3080" windowHeight="116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Resultater">'Definisjoner'!$A$2:$X$9</definedName>
    <definedName name="_xlnm.Print_Area" localSheetId="1">'Kamper'!$A$1:$T$41</definedName>
  </definedNames>
  <calcPr fullCalcOnLoad="1"/>
</workbook>
</file>

<file path=xl/sharedStrings.xml><?xml version="1.0" encoding="utf-8"?>
<sst xmlns="http://schemas.openxmlformats.org/spreadsheetml/2006/main" count="251" uniqueCount="73">
  <si>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</si>
  <si>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</si>
  <si>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</si>
  <si>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</si>
  <si>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</si>
  <si>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</si>
  <si>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</si>
  <si>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</si>
  <si>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</si>
  <si>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</si>
  <si>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</si>
  <si>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</si>
  <si>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</si>
  <si>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</si>
  <si>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</si>
  <si>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</si>
  <si>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</si>
  <si>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</si>
  <si>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</si>
  <si>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</si>
  <si>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</si>
  <si>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</si>
  <si>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</si>
  <si>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</si>
  <si>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</si>
  <si>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</si>
  <si>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</si>
  <si>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</si>
  <si>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</si>
  <si>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</si>
  <si>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</si>
  <si>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</si>
  <si>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</si>
  <si>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</si>
  <si>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</si>
  <si>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</si>
  <si>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</si>
  <si>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</si>
  <si>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</si>
  <si>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</si>
  <si>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</si>
  <si>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</si>
  <si>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</si>
  <si>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</si>
  <si>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</si>
  <si>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</si>
  <si>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</si>
  <si>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</si>
  <si>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</si>
  <si>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</si>
  <si>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</si>
  <si>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</si>
  <si>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</si>
  <si>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</si>
  <si>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</si>
  <si>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</si>
  <si>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 xml:space="preserve">SM 2011 4. divisjon avdeling </t>
  </si>
  <si>
    <t>Haugaland 6</t>
  </si>
  <si>
    <t>Egil Nerheim</t>
  </si>
  <si>
    <t>Haugaland 7</t>
  </si>
  <si>
    <t>Walk Over</t>
  </si>
  <si>
    <t>Haugaland 8</t>
  </si>
  <si>
    <t>Haugaland 9</t>
  </si>
  <si>
    <t>Haugaland 10</t>
  </si>
  <si>
    <t>Haugaland 11</t>
  </si>
  <si>
    <t>Haugaland 12</t>
  </si>
  <si>
    <t>Arvid Måkestad</t>
  </si>
  <si>
    <t>Halvor Skare</t>
  </si>
  <si>
    <t>Leif K Hausken</t>
  </si>
  <si>
    <t>Jostein Ottesen</t>
  </si>
  <si>
    <t>Jarle Heddeland</t>
  </si>
  <si>
    <t>Elise Høyland</t>
  </si>
  <si>
    <t>WO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</si>
</sst>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43">
      <alignment/>
      <protection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 quotePrefix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28" xfId="0" applyFont="1" applyBorder="1" applyAlignment="1">
      <alignment/>
    </xf>
    <xf numFmtId="0" fontId="10" fillId="0" borderId="28" xfId="44" applyFont="1" applyBorder="1">
      <alignment/>
      <protection/>
    </xf>
    <xf numFmtId="0" fontId="12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44" applyFont="1" applyBorder="1">
      <alignment/>
      <protection/>
    </xf>
    <xf numFmtId="0" fontId="10" fillId="0" borderId="30" xfId="44" applyFont="1" applyBorder="1">
      <alignment/>
      <protection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9" fillId="0" borderId="29" xfId="44" applyFont="1" applyBorder="1">
      <alignment/>
      <protection/>
    </xf>
    <xf numFmtId="0" fontId="9" fillId="0" borderId="31" xfId="44" applyFont="1" applyBorder="1">
      <alignment/>
      <protection/>
    </xf>
    <xf numFmtId="0" fontId="1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4" xfId="0" applyFont="1" applyBorder="1" applyAlignment="1">
      <alignment horizontal="right"/>
    </xf>
    <xf numFmtId="0" fontId="4" fillId="0" borderId="0" xfId="43" applyFont="1">
      <alignment/>
      <protection/>
    </xf>
    <xf numFmtId="0" fontId="8" fillId="0" borderId="3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8" fillId="0" borderId="18" xfId="0" applyFont="1" applyBorder="1" applyAlignment="1" quotePrefix="1">
      <alignment horizontal="center"/>
    </xf>
    <xf numFmtId="1" fontId="1" fillId="0" borderId="37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1" fillId="0" borderId="38" xfId="0" applyNumberFormat="1" applyFont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12" fillId="0" borderId="39" xfId="0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/>
    </xf>
    <xf numFmtId="0" fontId="12" fillId="0" borderId="43" xfId="0" applyFont="1" applyBorder="1" applyAlignment="1">
      <alignment horizontal="left"/>
    </xf>
    <xf numFmtId="0" fontId="12" fillId="0" borderId="44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45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26" xfId="44" applyFont="1" applyBorder="1">
      <alignment/>
      <protection/>
    </xf>
    <xf numFmtId="0" fontId="12" fillId="0" borderId="46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0" xfId="0" applyFont="1" applyBorder="1" applyAlignment="1">
      <alignment/>
    </xf>
    <xf numFmtId="0" fontId="12" fillId="0" borderId="52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3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34" xfId="0" applyBorder="1" applyAlignment="1">
      <alignment/>
    </xf>
    <xf numFmtId="0" fontId="13" fillId="0" borderId="31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9" fillId="0" borderId="58" xfId="44" applyFont="1" applyBorder="1">
      <alignment/>
      <protection/>
    </xf>
    <xf numFmtId="0" fontId="9" fillId="0" borderId="34" xfId="44" applyFont="1" applyBorder="1">
      <alignment/>
      <protection/>
    </xf>
    <xf numFmtId="0" fontId="10" fillId="0" borderId="0" xfId="44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59" xfId="0" applyFont="1" applyBorder="1" applyAlignment="1">
      <alignment horizontal="centerContinuous"/>
    </xf>
    <xf numFmtId="0" fontId="4" fillId="0" borderId="41" xfId="0" applyFont="1" applyBorder="1" applyAlignment="1">
      <alignment/>
    </xf>
    <xf numFmtId="0" fontId="12" fillId="0" borderId="60" xfId="0" applyFont="1" applyBorder="1" applyAlignment="1">
      <alignment horizontal="right"/>
    </xf>
    <xf numFmtId="0" fontId="13" fillId="0" borderId="0" xfId="43" applyFont="1">
      <alignment/>
      <protection/>
    </xf>
    <xf numFmtId="0" fontId="15" fillId="0" borderId="0" xfId="0" applyFont="1" applyAlignment="1">
      <alignment/>
    </xf>
    <xf numFmtId="0" fontId="13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7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0" fillId="0" borderId="6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64" xfId="0" applyFont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2" fillId="0" borderId="62" xfId="0" applyFont="1" applyBorder="1" applyAlignment="1">
      <alignment horizontal="right"/>
    </xf>
    <xf numFmtId="0" fontId="10" fillId="0" borderId="46" xfId="0" applyFont="1" applyBorder="1" applyAlignment="1">
      <alignment/>
    </xf>
    <xf numFmtId="0" fontId="9" fillId="0" borderId="65" xfId="44" applyFont="1" applyBorder="1">
      <alignment/>
      <protection/>
    </xf>
    <xf numFmtId="0" fontId="8" fillId="0" borderId="66" xfId="0" applyFont="1" applyBorder="1" applyAlignment="1">
      <alignment horizontal="center"/>
    </xf>
    <xf numFmtId="0" fontId="4" fillId="0" borderId="0" xfId="43" applyFont="1" applyAlignment="1">
      <alignment horizontal="right"/>
      <protection/>
    </xf>
    <xf numFmtId="0" fontId="13" fillId="0" borderId="0" xfId="43" applyFont="1" applyAlignment="1">
      <alignment horizontal="right"/>
      <protection/>
    </xf>
    <xf numFmtId="0" fontId="4" fillId="0" borderId="67" xfId="43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43" applyFont="1" applyAlignment="1">
      <alignment horizontal="left"/>
      <protection/>
    </xf>
    <xf numFmtId="0" fontId="13" fillId="0" borderId="23" xfId="43" applyFont="1" applyBorder="1" applyAlignment="1">
      <alignment horizontal="left"/>
      <protection/>
    </xf>
    <xf numFmtId="0" fontId="4" fillId="0" borderId="38" xfId="43" applyFont="1" applyBorder="1" applyAlignment="1">
      <alignment horizontal="left"/>
      <protection/>
    </xf>
    <xf numFmtId="0" fontId="4" fillId="0" borderId="66" xfId="43" applyBorder="1" applyAlignment="1">
      <alignment horizontal="left"/>
      <protection/>
    </xf>
    <xf numFmtId="0" fontId="4" fillId="0" borderId="68" xfId="43" applyBorder="1" applyAlignment="1">
      <alignment horizontal="left"/>
      <protection/>
    </xf>
    <xf numFmtId="0" fontId="13" fillId="0" borderId="0" xfId="43" applyFont="1" applyAlignment="1">
      <alignment horizontal="center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25"/>
          <c:w val="0.97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Tabell!$C$4:$C$11</c:f>
              <c:strCache/>
            </c:strRef>
          </c:cat>
          <c:val>
            <c:numRef>
              <c:f>Tabell!$E$4:$E$11</c:f>
              <c:numCache/>
            </c:numRef>
          </c:val>
        </c:ser>
        <c:axId val="29760980"/>
        <c:axId val="3480453"/>
      </c:barChart>
      <c:catAx>
        <c:axId val="297609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0453"/>
        <c:crosses val="autoZero"/>
        <c:auto val="0"/>
        <c:lblOffset val="100"/>
        <c:tickLblSkip val="1"/>
        <c:noMultiLvlLbl val="0"/>
      </c:catAx>
      <c:valAx>
        <c:axId val="3480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0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PageLayoutView="0" workbookViewId="0" topLeftCell="A1">
      <selection activeCell="B2" sqref="B2:D11"/>
    </sheetView>
  </sheetViews>
  <sheetFormatPr defaultColWidth="8.83203125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3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0" t="str">
        <f>Overskrift_Tab</f>
        <v>SM 2011 4. divisjon avdeling 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33"/>
      <c r="AE1" s="133"/>
      <c r="AF1" s="133"/>
      <c r="AG1" s="133"/>
      <c r="AH1" s="133"/>
      <c r="AI1" s="133"/>
    </row>
    <row r="2" spans="2:29" s="3" customFormat="1" ht="12.75">
      <c r="B2" s="167" t="s">
        <v>1</v>
      </c>
      <c r="C2" s="168"/>
      <c r="D2" s="169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1" t="s">
        <v>8</v>
      </c>
      <c r="J3" s="135" t="s">
        <v>9</v>
      </c>
      <c r="K3" s="136"/>
      <c r="L3" s="141" t="s">
        <v>8</v>
      </c>
      <c r="M3" s="135" t="s">
        <v>9</v>
      </c>
      <c r="N3" s="136"/>
      <c r="O3" s="141" t="s">
        <v>8</v>
      </c>
      <c r="P3" s="135" t="s">
        <v>9</v>
      </c>
      <c r="Q3" s="136"/>
      <c r="R3" s="141" t="s">
        <v>8</v>
      </c>
      <c r="S3" s="135" t="s">
        <v>9</v>
      </c>
      <c r="T3" s="136"/>
      <c r="U3" s="141" t="s">
        <v>8</v>
      </c>
      <c r="V3" s="135" t="s">
        <v>9</v>
      </c>
      <c r="W3" s="136"/>
      <c r="X3" s="141" t="s">
        <v>8</v>
      </c>
      <c r="Y3" s="135" t="s">
        <v>9</v>
      </c>
      <c r="Z3" s="136"/>
      <c r="AA3" s="141" t="s">
        <v>8</v>
      </c>
      <c r="AB3" s="135" t="s">
        <v>9</v>
      </c>
      <c r="AC3" s="136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Haugaland 6</v>
      </c>
      <c r="D4" s="102" t="str">
        <f aca="true" t="shared" si="2" ref="D4:D11">VLOOKUP(B4,Lag,3)</f>
        <v>Egil Nerheim</v>
      </c>
      <c r="E4" s="77">
        <f aca="true" t="shared" si="3" ref="E4:G11">SUM(I4,L4,O4,R4,U4,X4,AA4)</f>
        <v>88</v>
      </c>
      <c r="F4" s="77">
        <f t="shared" si="3"/>
        <v>237</v>
      </c>
      <c r="G4" s="77">
        <f t="shared" si="3"/>
        <v>183</v>
      </c>
      <c r="H4" s="137">
        <f aca="true" t="shared" si="4" ref="H4:H11">IF(G4=0," ",F4/G4)</f>
        <v>1.2950819672131149</v>
      </c>
      <c r="I4" s="142">
        <f aca="true" t="shared" si="5" ref="I4:I11">VLOOKUP($B4,Resultater,4)</f>
        <v>17</v>
      </c>
      <c r="J4" s="152">
        <f aca="true" t="shared" si="6" ref="J4:J11">VLOOKUP($B4,Resultater,5)</f>
        <v>0</v>
      </c>
      <c r="K4" s="154">
        <f aca="true" t="shared" si="7" ref="K4:K11">VLOOKUP($B4,Resultater,6)</f>
        <v>0</v>
      </c>
      <c r="L4" s="155">
        <f aca="true" t="shared" si="8" ref="L4:L11">VLOOKUP($B4,Resultater,7)</f>
        <v>12</v>
      </c>
      <c r="M4" s="156">
        <f aca="true" t="shared" si="9" ref="M4:M11">VLOOKUP($B4,Resultater,8)</f>
        <v>51</v>
      </c>
      <c r="N4" s="157">
        <f aca="true" t="shared" si="10" ref="N4:N11">VLOOKUP($B4,Resultater,9)</f>
        <v>67</v>
      </c>
      <c r="O4" s="155">
        <f aca="true" t="shared" si="11" ref="O4:O11">VLOOKUP($B4,Resultater,10)</f>
        <v>21</v>
      </c>
      <c r="P4" s="156">
        <f aca="true" t="shared" si="12" ref="P4:P11">VLOOKUP($B4,Resultater,11)</f>
        <v>57</v>
      </c>
      <c r="Q4" s="158">
        <f aca="true" t="shared" si="13" ref="Q4:Q11">VLOOKUP($B4,Resultater,12)</f>
        <v>27</v>
      </c>
      <c r="R4" s="155">
        <f aca="true" t="shared" si="14" ref="R4:R11">VLOOKUP($B4,Resultater,13)</f>
        <v>23</v>
      </c>
      <c r="S4" s="156">
        <f aca="true" t="shared" si="15" ref="S4:S11">VLOOKUP($B4,Resultater,14)</f>
        <v>81</v>
      </c>
      <c r="T4" s="158">
        <f aca="true" t="shared" si="16" ref="T4:T11">VLOOKUP($B4,Resultater,15)</f>
        <v>41</v>
      </c>
      <c r="U4" s="155">
        <f aca="true" t="shared" si="17" ref="U4:U11">VLOOKUP($B4,Resultater,16)</f>
        <v>15</v>
      </c>
      <c r="V4" s="156">
        <f aca="true" t="shared" si="18" ref="V4:V11">VLOOKUP($B4,Resultater,17)</f>
        <v>48</v>
      </c>
      <c r="W4" s="158">
        <f aca="true" t="shared" si="19" ref="W4:W11">VLOOKUP($B4,Resultater,18)</f>
        <v>48</v>
      </c>
      <c r="X4" s="155">
        <f aca="true" t="shared" si="20" ref="X4:X11">VLOOKUP($B4,Resultater,19)</f>
        <v>0</v>
      </c>
      <c r="Y4" s="156">
        <f aca="true" t="shared" si="21" ref="Y4:Y11">VLOOKUP($B4,Resultater,20)</f>
        <v>0</v>
      </c>
      <c r="Z4" s="158">
        <f aca="true" t="shared" si="22" ref="Z4:Z11">VLOOKUP($B4,Resultater,21)</f>
        <v>0</v>
      </c>
      <c r="AA4" s="159">
        <f aca="true" t="shared" si="23" ref="AA4:AA11">VLOOKUP($B4,Resultater,22)</f>
        <v>0</v>
      </c>
      <c r="AB4" s="156">
        <f aca="true" t="shared" si="24" ref="AB4:AB11">VLOOKUP($B4,Resultater,23)</f>
        <v>0</v>
      </c>
      <c r="AC4" s="158">
        <f aca="true" t="shared" si="25" ref="AC4:AC11">VLOOKUP($B4,Resultater,24)</f>
        <v>0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Haugaland 7</v>
      </c>
      <c r="D5" s="103" t="str">
        <f t="shared" si="2"/>
        <v>Arvid Måkestad</v>
      </c>
      <c r="E5" s="77">
        <f t="shared" si="3"/>
        <v>105</v>
      </c>
      <c r="F5" s="77">
        <f t="shared" si="3"/>
        <v>311</v>
      </c>
      <c r="G5" s="77">
        <f t="shared" si="3"/>
        <v>163</v>
      </c>
      <c r="H5" s="139">
        <f t="shared" si="4"/>
        <v>1.9079754601226995</v>
      </c>
      <c r="I5" s="134">
        <f t="shared" si="5"/>
        <v>24</v>
      </c>
      <c r="J5" s="146">
        <f t="shared" si="6"/>
        <v>86</v>
      </c>
      <c r="K5" s="43">
        <f t="shared" si="7"/>
        <v>36</v>
      </c>
      <c r="L5" s="144">
        <f t="shared" si="8"/>
        <v>18</v>
      </c>
      <c r="M5" s="148">
        <f t="shared" si="9"/>
        <v>67</v>
      </c>
      <c r="N5" s="78">
        <f t="shared" si="10"/>
        <v>51</v>
      </c>
      <c r="O5" s="143">
        <f t="shared" si="11"/>
        <v>17</v>
      </c>
      <c r="P5" s="148">
        <f t="shared" si="12"/>
        <v>0</v>
      </c>
      <c r="Q5" s="45">
        <f t="shared" si="13"/>
        <v>0</v>
      </c>
      <c r="R5" s="143">
        <f t="shared" si="14"/>
        <v>23</v>
      </c>
      <c r="S5" s="148">
        <f t="shared" si="15"/>
        <v>86</v>
      </c>
      <c r="T5" s="45">
        <f t="shared" si="16"/>
        <v>46</v>
      </c>
      <c r="U5" s="143">
        <f t="shared" si="17"/>
        <v>23</v>
      </c>
      <c r="V5" s="148">
        <f t="shared" si="18"/>
        <v>72</v>
      </c>
      <c r="W5" s="45">
        <f t="shared" si="19"/>
        <v>30</v>
      </c>
      <c r="X5" s="143">
        <f t="shared" si="20"/>
        <v>0</v>
      </c>
      <c r="Y5" s="148">
        <f t="shared" si="21"/>
        <v>0</v>
      </c>
      <c r="Z5" s="45">
        <f t="shared" si="22"/>
        <v>0</v>
      </c>
      <c r="AA5" s="143">
        <f t="shared" si="23"/>
        <v>0</v>
      </c>
      <c r="AB5" s="148">
        <f t="shared" si="24"/>
        <v>0</v>
      </c>
      <c r="AC5" s="45">
        <f t="shared" si="25"/>
        <v>0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Haugaland 8</v>
      </c>
      <c r="D6" s="103" t="str">
        <f t="shared" si="2"/>
        <v>Halvor Skare</v>
      </c>
      <c r="E6" s="77">
        <f t="shared" si="3"/>
        <v>62</v>
      </c>
      <c r="F6" s="77">
        <f t="shared" si="3"/>
        <v>170</v>
      </c>
      <c r="G6" s="77">
        <f t="shared" si="3"/>
        <v>247</v>
      </c>
      <c r="H6" s="139">
        <f t="shared" si="4"/>
        <v>0.6882591093117408</v>
      </c>
      <c r="I6" s="134">
        <f t="shared" si="5"/>
        <v>17</v>
      </c>
      <c r="J6" s="146">
        <f t="shared" si="6"/>
        <v>53</v>
      </c>
      <c r="K6" s="43">
        <f t="shared" si="7"/>
        <v>42</v>
      </c>
      <c r="L6" s="143">
        <f t="shared" si="8"/>
        <v>12</v>
      </c>
      <c r="M6" s="148">
        <f t="shared" si="9"/>
        <v>44</v>
      </c>
      <c r="N6" s="78">
        <f t="shared" si="10"/>
        <v>62</v>
      </c>
      <c r="O6" s="143">
        <f t="shared" si="11"/>
        <v>9</v>
      </c>
      <c r="P6" s="148">
        <f t="shared" si="12"/>
        <v>27</v>
      </c>
      <c r="Q6" s="45">
        <f t="shared" si="13"/>
        <v>57</v>
      </c>
      <c r="R6" s="143">
        <f t="shared" si="14"/>
        <v>7</v>
      </c>
      <c r="S6" s="148">
        <f t="shared" si="15"/>
        <v>46</v>
      </c>
      <c r="T6" s="45">
        <f t="shared" si="16"/>
        <v>86</v>
      </c>
      <c r="U6" s="143">
        <f t="shared" si="17"/>
        <v>17</v>
      </c>
      <c r="V6" s="148">
        <f t="shared" si="18"/>
        <v>0</v>
      </c>
      <c r="W6" s="45">
        <f t="shared" si="19"/>
        <v>0</v>
      </c>
      <c r="X6" s="143">
        <f t="shared" si="20"/>
        <v>0</v>
      </c>
      <c r="Y6" s="148">
        <f t="shared" si="21"/>
        <v>0</v>
      </c>
      <c r="Z6" s="45">
        <f t="shared" si="22"/>
        <v>0</v>
      </c>
      <c r="AA6" s="143">
        <f t="shared" si="23"/>
        <v>0</v>
      </c>
      <c r="AB6" s="148">
        <f t="shared" si="24"/>
        <v>0</v>
      </c>
      <c r="AC6" s="45">
        <f t="shared" si="25"/>
        <v>0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Haugaland 9</v>
      </c>
      <c r="D7" s="103" t="str">
        <f t="shared" si="2"/>
        <v>Leif K Hausken</v>
      </c>
      <c r="E7" s="77">
        <f t="shared" si="3"/>
        <v>63</v>
      </c>
      <c r="F7" s="77">
        <f t="shared" si="3"/>
        <v>252</v>
      </c>
      <c r="G7" s="77">
        <f t="shared" si="3"/>
        <v>320</v>
      </c>
      <c r="H7" s="138">
        <f t="shared" si="4"/>
        <v>0.7875</v>
      </c>
      <c r="I7" s="134">
        <f t="shared" si="5"/>
        <v>10</v>
      </c>
      <c r="J7" s="146">
        <f t="shared" si="6"/>
        <v>37</v>
      </c>
      <c r="K7" s="43">
        <f t="shared" si="7"/>
        <v>66</v>
      </c>
      <c r="L7" s="143">
        <f t="shared" si="8"/>
        <v>15</v>
      </c>
      <c r="M7" s="148">
        <f t="shared" si="9"/>
        <v>56</v>
      </c>
      <c r="N7" s="78">
        <f t="shared" si="10"/>
        <v>59</v>
      </c>
      <c r="O7" s="143">
        <f t="shared" si="11"/>
        <v>24</v>
      </c>
      <c r="P7" s="148">
        <f t="shared" si="12"/>
        <v>88</v>
      </c>
      <c r="Q7" s="45">
        <f t="shared" si="13"/>
        <v>42</v>
      </c>
      <c r="R7" s="143">
        <f t="shared" si="14"/>
        <v>7</v>
      </c>
      <c r="S7" s="148">
        <f t="shared" si="15"/>
        <v>41</v>
      </c>
      <c r="T7" s="45">
        <f t="shared" si="16"/>
        <v>81</v>
      </c>
      <c r="U7" s="143">
        <f t="shared" si="17"/>
        <v>7</v>
      </c>
      <c r="V7" s="148">
        <f t="shared" si="18"/>
        <v>30</v>
      </c>
      <c r="W7" s="45">
        <f t="shared" si="19"/>
        <v>72</v>
      </c>
      <c r="X7" s="144">
        <f t="shared" si="20"/>
        <v>0</v>
      </c>
      <c r="Y7" s="148">
        <f t="shared" si="21"/>
        <v>0</v>
      </c>
      <c r="Z7" s="45">
        <f t="shared" si="22"/>
        <v>0</v>
      </c>
      <c r="AA7" s="143">
        <f t="shared" si="23"/>
        <v>0</v>
      </c>
      <c r="AB7" s="148">
        <f t="shared" si="24"/>
        <v>0</v>
      </c>
      <c r="AC7" s="45">
        <f t="shared" si="25"/>
        <v>0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Haugaland 10</v>
      </c>
      <c r="D8" s="103" t="str">
        <f t="shared" si="2"/>
        <v>Jostein Ottesen</v>
      </c>
      <c r="E8" s="77">
        <f t="shared" si="3"/>
        <v>86</v>
      </c>
      <c r="F8" s="77">
        <f t="shared" si="3"/>
        <v>221</v>
      </c>
      <c r="G8" s="77">
        <f t="shared" si="3"/>
        <v>172</v>
      </c>
      <c r="H8" s="138">
        <f t="shared" si="4"/>
        <v>1.2848837209302326</v>
      </c>
      <c r="I8" s="134">
        <f t="shared" si="5"/>
        <v>20</v>
      </c>
      <c r="J8" s="146">
        <f t="shared" si="6"/>
        <v>66</v>
      </c>
      <c r="K8" s="43">
        <f t="shared" si="7"/>
        <v>37</v>
      </c>
      <c r="L8" s="144">
        <f t="shared" si="8"/>
        <v>17</v>
      </c>
      <c r="M8" s="148">
        <f t="shared" si="9"/>
        <v>0</v>
      </c>
      <c r="N8" s="78">
        <f t="shared" si="10"/>
        <v>0</v>
      </c>
      <c r="O8" s="143">
        <f t="shared" si="11"/>
        <v>10</v>
      </c>
      <c r="P8" s="148">
        <f t="shared" si="12"/>
        <v>25</v>
      </c>
      <c r="Q8" s="45">
        <f t="shared" si="13"/>
        <v>53</v>
      </c>
      <c r="R8" s="143">
        <f t="shared" si="14"/>
        <v>24</v>
      </c>
      <c r="S8" s="148">
        <f t="shared" si="15"/>
        <v>82</v>
      </c>
      <c r="T8" s="45">
        <f t="shared" si="16"/>
        <v>34</v>
      </c>
      <c r="U8" s="143">
        <f t="shared" si="17"/>
        <v>15</v>
      </c>
      <c r="V8" s="148">
        <f t="shared" si="18"/>
        <v>48</v>
      </c>
      <c r="W8" s="45">
        <f t="shared" si="19"/>
        <v>48</v>
      </c>
      <c r="X8" s="143">
        <f t="shared" si="20"/>
        <v>0</v>
      </c>
      <c r="Y8" s="148">
        <f t="shared" si="21"/>
        <v>0</v>
      </c>
      <c r="Z8" s="45">
        <f t="shared" si="22"/>
        <v>0</v>
      </c>
      <c r="AA8" s="143">
        <f t="shared" si="23"/>
        <v>0</v>
      </c>
      <c r="AB8" s="148">
        <f t="shared" si="24"/>
        <v>0</v>
      </c>
      <c r="AC8" s="45">
        <f t="shared" si="25"/>
        <v>0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Haugaland 11</v>
      </c>
      <c r="D9" s="103" t="str">
        <f t="shared" si="2"/>
        <v>Jarle Heddeland</v>
      </c>
      <c r="E9" s="77">
        <f t="shared" si="3"/>
        <v>85</v>
      </c>
      <c r="F9" s="77">
        <f t="shared" si="3"/>
        <v>227</v>
      </c>
      <c r="G9" s="77">
        <f t="shared" si="3"/>
        <v>179</v>
      </c>
      <c r="H9" s="138">
        <f t="shared" si="4"/>
        <v>1.2681564245810055</v>
      </c>
      <c r="I9" s="134">
        <f t="shared" si="5"/>
        <v>13</v>
      </c>
      <c r="J9" s="151">
        <f t="shared" si="6"/>
        <v>42</v>
      </c>
      <c r="K9" s="153">
        <f t="shared" si="7"/>
        <v>53</v>
      </c>
      <c r="L9" s="134">
        <f t="shared" si="8"/>
        <v>15</v>
      </c>
      <c r="M9" s="151">
        <f t="shared" si="9"/>
        <v>59</v>
      </c>
      <c r="N9" s="153">
        <f t="shared" si="10"/>
        <v>56</v>
      </c>
      <c r="O9" s="134">
        <f t="shared" si="11"/>
        <v>20</v>
      </c>
      <c r="P9" s="151">
        <f t="shared" si="12"/>
        <v>53</v>
      </c>
      <c r="Q9" s="153">
        <f t="shared" si="13"/>
        <v>25</v>
      </c>
      <c r="R9" s="134">
        <f t="shared" si="14"/>
        <v>17</v>
      </c>
      <c r="S9" s="151">
        <f t="shared" si="15"/>
        <v>0</v>
      </c>
      <c r="T9" s="153">
        <f t="shared" si="16"/>
        <v>0</v>
      </c>
      <c r="U9" s="134">
        <f t="shared" si="17"/>
        <v>20</v>
      </c>
      <c r="V9" s="151">
        <f t="shared" si="18"/>
        <v>73</v>
      </c>
      <c r="W9" s="153">
        <f t="shared" si="19"/>
        <v>45</v>
      </c>
      <c r="X9" s="134">
        <f t="shared" si="20"/>
        <v>0</v>
      </c>
      <c r="Y9" s="151">
        <f t="shared" si="21"/>
        <v>0</v>
      </c>
      <c r="Z9" s="153">
        <f t="shared" si="22"/>
        <v>0</v>
      </c>
      <c r="AA9" s="134">
        <f t="shared" si="23"/>
        <v>0</v>
      </c>
      <c r="AB9" s="151">
        <f t="shared" si="24"/>
        <v>0</v>
      </c>
      <c r="AC9" s="153">
        <f t="shared" si="25"/>
        <v>0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Haugaland 12</v>
      </c>
      <c r="D10" s="103" t="str">
        <f t="shared" si="2"/>
        <v>Elise Høyland</v>
      </c>
      <c r="E10" s="77">
        <f t="shared" si="3"/>
        <v>46</v>
      </c>
      <c r="F10" s="77">
        <f t="shared" si="3"/>
        <v>219</v>
      </c>
      <c r="G10" s="77">
        <f t="shared" si="3"/>
        <v>373</v>
      </c>
      <c r="H10" s="139">
        <f t="shared" si="4"/>
        <v>0.5871313672922251</v>
      </c>
      <c r="I10" s="134">
        <f t="shared" si="5"/>
        <v>6</v>
      </c>
      <c r="J10" s="146">
        <f t="shared" si="6"/>
        <v>36</v>
      </c>
      <c r="K10" s="43">
        <f t="shared" si="7"/>
        <v>86</v>
      </c>
      <c r="L10" s="143">
        <f t="shared" si="8"/>
        <v>18</v>
      </c>
      <c r="M10" s="148">
        <f t="shared" si="9"/>
        <v>62</v>
      </c>
      <c r="N10" s="78">
        <f t="shared" si="10"/>
        <v>44</v>
      </c>
      <c r="O10" s="143">
        <f t="shared" si="11"/>
        <v>6</v>
      </c>
      <c r="P10" s="148">
        <f t="shared" si="12"/>
        <v>42</v>
      </c>
      <c r="Q10" s="45">
        <f t="shared" si="13"/>
        <v>88</v>
      </c>
      <c r="R10" s="143">
        <f t="shared" si="14"/>
        <v>6</v>
      </c>
      <c r="S10" s="148">
        <f t="shared" si="15"/>
        <v>34</v>
      </c>
      <c r="T10" s="45">
        <f t="shared" si="16"/>
        <v>82</v>
      </c>
      <c r="U10" s="143">
        <f t="shared" si="17"/>
        <v>10</v>
      </c>
      <c r="V10" s="148">
        <f t="shared" si="18"/>
        <v>45</v>
      </c>
      <c r="W10" s="45">
        <f t="shared" si="19"/>
        <v>73</v>
      </c>
      <c r="X10" s="144">
        <f t="shared" si="20"/>
        <v>0</v>
      </c>
      <c r="Y10" s="148">
        <f t="shared" si="21"/>
        <v>0</v>
      </c>
      <c r="Z10" s="45">
        <f t="shared" si="22"/>
        <v>0</v>
      </c>
      <c r="AA10" s="143">
        <f t="shared" si="23"/>
        <v>0</v>
      </c>
      <c r="AB10" s="148">
        <f t="shared" si="24"/>
        <v>0</v>
      </c>
      <c r="AC10" s="45">
        <f t="shared" si="25"/>
        <v>0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Walk Over</v>
      </c>
      <c r="D11" s="104" t="str">
        <f t="shared" si="2"/>
        <v>WO</v>
      </c>
      <c r="E11" s="79">
        <f t="shared" si="3"/>
        <v>0</v>
      </c>
      <c r="F11" s="79">
        <f t="shared" si="3"/>
        <v>0</v>
      </c>
      <c r="G11" s="79">
        <f t="shared" si="3"/>
        <v>0</v>
      </c>
      <c r="H11" s="140" t="str">
        <f t="shared" si="4"/>
        <v> </v>
      </c>
      <c r="I11" s="150">
        <f t="shared" si="5"/>
        <v>0</v>
      </c>
      <c r="J11" s="147">
        <f t="shared" si="6"/>
        <v>0</v>
      </c>
      <c r="K11" s="46">
        <f t="shared" si="7"/>
        <v>0</v>
      </c>
      <c r="L11" s="145">
        <f t="shared" si="8"/>
        <v>0</v>
      </c>
      <c r="M11" s="149">
        <f t="shared" si="9"/>
        <v>0</v>
      </c>
      <c r="N11" s="80">
        <f t="shared" si="10"/>
        <v>0</v>
      </c>
      <c r="O11" s="145">
        <f t="shared" si="11"/>
        <v>0</v>
      </c>
      <c r="P11" s="149">
        <f t="shared" si="12"/>
        <v>0</v>
      </c>
      <c r="Q11" s="44">
        <f t="shared" si="13"/>
        <v>0</v>
      </c>
      <c r="R11" s="145">
        <f t="shared" si="14"/>
        <v>0</v>
      </c>
      <c r="S11" s="149">
        <f t="shared" si="15"/>
        <v>0</v>
      </c>
      <c r="T11" s="44">
        <f t="shared" si="16"/>
        <v>0</v>
      </c>
      <c r="U11" s="145">
        <f t="shared" si="17"/>
        <v>0</v>
      </c>
      <c r="V11" s="149">
        <f t="shared" si="18"/>
        <v>0</v>
      </c>
      <c r="W11" s="44">
        <f t="shared" si="19"/>
        <v>0</v>
      </c>
      <c r="X11" s="145">
        <f t="shared" si="20"/>
        <v>0</v>
      </c>
      <c r="Y11" s="149">
        <f t="shared" si="21"/>
        <v>0</v>
      </c>
      <c r="Z11" s="44">
        <f t="shared" si="22"/>
        <v>0</v>
      </c>
      <c r="AA11" s="145">
        <f t="shared" si="23"/>
        <v>0</v>
      </c>
      <c r="AB11" s="149">
        <f t="shared" si="24"/>
        <v>0</v>
      </c>
      <c r="AC11" s="44">
        <f t="shared" si="25"/>
        <v>0</v>
      </c>
    </row>
  </sheetData>
  <sheetProtection/>
  <mergeCells count="2">
    <mergeCell ref="B2:D2"/>
    <mergeCell ref="A1:AC1"/>
  </mergeCells>
  <printOptions/>
  <pageMargins left="0.787401575" right="0.7874015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">
      <selection activeCell="E18" sqref="E18"/>
    </sheetView>
  </sheetViews>
  <sheetFormatPr defaultColWidth="9.33203125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6" t="str">
        <f>Definisjoner!C17</f>
        <v>Kamp 1</v>
      </c>
      <c r="B1" s="177"/>
      <c r="C1" s="177"/>
      <c r="D1" s="177"/>
      <c r="E1" s="175" t="s">
        <v>9</v>
      </c>
      <c r="F1" s="175"/>
      <c r="G1" s="175"/>
      <c r="H1" s="174" t="s">
        <v>8</v>
      </c>
      <c r="I1" s="174"/>
      <c r="J1" s="174"/>
      <c r="K1" s="174" t="s">
        <v>25</v>
      </c>
      <c r="L1" s="174"/>
      <c r="M1" s="31"/>
      <c r="N1" s="174"/>
      <c r="O1" s="174"/>
      <c r="P1" s="174"/>
      <c r="Q1" s="174"/>
      <c r="R1" s="174"/>
      <c r="S1" s="174"/>
      <c r="T1" s="174"/>
    </row>
    <row r="2" spans="1:10" ht="15" customHeight="1" thickBot="1">
      <c r="A2" s="9">
        <v>1</v>
      </c>
      <c r="B2" s="10" t="str">
        <f>VLOOKUP(VLOOKUP(A1,Oppsett,2),Lag,2)</f>
        <v>Haugaland 7</v>
      </c>
      <c r="C2" s="11" t="s">
        <v>11</v>
      </c>
      <c r="D2" s="10" t="str">
        <f>VLOOKUP(VLOOKUP(A1,Oppsett,3),Lag,2)</f>
        <v>Haugaland 12</v>
      </c>
      <c r="E2" s="16">
        <v>86</v>
      </c>
      <c r="F2" s="17" t="s">
        <v>11</v>
      </c>
      <c r="G2" s="18">
        <v>36</v>
      </c>
      <c r="H2" s="16">
        <v>24</v>
      </c>
      <c r="I2" s="17" t="s">
        <v>11</v>
      </c>
      <c r="J2" s="18">
        <v>6</v>
      </c>
    </row>
    <row r="3" spans="1:20" ht="15" customHeight="1" thickBot="1">
      <c r="A3" s="12">
        <v>2</v>
      </c>
      <c r="B3" s="6" t="str">
        <f>VLOOKUP(VLOOKUP(A1,Oppsett,4),Lag,2)</f>
        <v>Haugaland 8</v>
      </c>
      <c r="C3" s="7" t="s">
        <v>11</v>
      </c>
      <c r="D3" s="6" t="str">
        <f>VLOOKUP(VLOOKUP(A1,Oppsett,5),Lag,2)</f>
        <v>Haugaland 11</v>
      </c>
      <c r="E3" s="20">
        <v>53</v>
      </c>
      <c r="F3" s="21" t="s">
        <v>11</v>
      </c>
      <c r="G3" s="22">
        <v>42</v>
      </c>
      <c r="H3" s="20">
        <v>17</v>
      </c>
      <c r="I3" s="21" t="s">
        <v>11</v>
      </c>
      <c r="J3" s="22">
        <v>13</v>
      </c>
      <c r="N3" s="173" t="s">
        <v>41</v>
      </c>
      <c r="O3" s="171"/>
      <c r="P3" s="171"/>
      <c r="Q3" s="171"/>
      <c r="R3" s="163">
        <f>AntallSpill</f>
        <v>24</v>
      </c>
      <c r="S3" s="171" t="s">
        <v>40</v>
      </c>
      <c r="T3" s="172"/>
    </row>
    <row r="4" spans="1:20" ht="15" customHeight="1">
      <c r="A4" s="12">
        <v>3</v>
      </c>
      <c r="B4" s="6" t="str">
        <f>VLOOKUP(VLOOKUP(A1,Oppsett,6),Lag,2)</f>
        <v>Haugaland 9</v>
      </c>
      <c r="C4" s="7" t="s">
        <v>11</v>
      </c>
      <c r="D4" s="6" t="str">
        <f>VLOOKUP(VLOOKUP(A1,Oppsett,7),Lag,2)</f>
        <v>Haugaland 10</v>
      </c>
      <c r="E4" s="20">
        <v>37</v>
      </c>
      <c r="F4" s="21" t="s">
        <v>11</v>
      </c>
      <c r="G4" s="22">
        <v>66</v>
      </c>
      <c r="H4" s="20">
        <v>10</v>
      </c>
      <c r="I4" s="21" t="s">
        <v>11</v>
      </c>
      <c r="J4" s="22">
        <v>20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Haugaland 6</v>
      </c>
      <c r="C5" s="15" t="s">
        <v>11</v>
      </c>
      <c r="D5" s="14" t="str">
        <f>VLOOKUP(VLOOKUP(A1,Oppsett,9),Lag,2)</f>
        <v>Walk Over</v>
      </c>
      <c r="E5" s="72"/>
      <c r="F5" s="73" t="s">
        <v>11</v>
      </c>
      <c r="G5" s="74"/>
      <c r="H5" s="72">
        <v>17</v>
      </c>
      <c r="I5" s="73" t="s">
        <v>11</v>
      </c>
      <c r="J5" s="74"/>
      <c r="N5" s="36">
        <f>HLOOKUP(R3,IMP2VP,2,FALSE)</f>
        <v>4</v>
      </c>
      <c r="O5" s="37" t="s">
        <v>11</v>
      </c>
      <c r="P5" s="8">
        <f t="shared" si="0"/>
        <v>9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10</v>
      </c>
      <c r="O6" s="37" t="s">
        <v>11</v>
      </c>
      <c r="P6" s="8">
        <f t="shared" si="0"/>
        <v>14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6" t="str">
        <f>Definisjoner!C18</f>
        <v>Kamp 2</v>
      </c>
      <c r="B7" s="177"/>
      <c r="C7" s="177"/>
      <c r="D7" s="177"/>
      <c r="E7" s="175" t="s">
        <v>9</v>
      </c>
      <c r="F7" s="175"/>
      <c r="G7" s="175"/>
      <c r="H7" s="174" t="s">
        <v>8</v>
      </c>
      <c r="I7" s="174"/>
      <c r="J7" s="174"/>
      <c r="N7" s="36">
        <f>HLOOKUP(R3,IMP2VP,4,FALSE)</f>
        <v>15</v>
      </c>
      <c r="O7" s="37" t="s">
        <v>11</v>
      </c>
      <c r="P7" s="8">
        <f t="shared" si="0"/>
        <v>19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Haugaland 11</v>
      </c>
      <c r="C8" s="11" t="s">
        <v>11</v>
      </c>
      <c r="D8" s="10" t="str">
        <f>VLOOKUP(VLOOKUP(A7,Oppsett,3),Lag,2)</f>
        <v>Haugaland 9</v>
      </c>
      <c r="E8" s="16">
        <v>59</v>
      </c>
      <c r="F8" s="17" t="s">
        <v>11</v>
      </c>
      <c r="G8" s="18">
        <v>56</v>
      </c>
      <c r="H8" s="19">
        <v>15</v>
      </c>
      <c r="I8" s="34" t="s">
        <v>11</v>
      </c>
      <c r="J8" s="18">
        <v>15</v>
      </c>
      <c r="N8" s="36">
        <f>HLOOKUP(R3,IMP2VP,5,FALSE)</f>
        <v>20</v>
      </c>
      <c r="O8" s="37" t="s">
        <v>11</v>
      </c>
      <c r="P8" s="8">
        <f t="shared" si="0"/>
        <v>24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Haugaland 12</v>
      </c>
      <c r="C9" s="7" t="s">
        <v>11</v>
      </c>
      <c r="D9" s="6" t="str">
        <f>VLOOKUP(VLOOKUP(A7,Oppsett,5),Lag,2)</f>
        <v>Haugaland 8</v>
      </c>
      <c r="E9" s="20">
        <v>62</v>
      </c>
      <c r="F9" s="21" t="s">
        <v>11</v>
      </c>
      <c r="G9" s="22">
        <v>44</v>
      </c>
      <c r="H9" s="23">
        <v>18</v>
      </c>
      <c r="I9" s="21" t="s">
        <v>11</v>
      </c>
      <c r="J9" s="22">
        <v>12</v>
      </c>
      <c r="N9" s="36">
        <f>HLOOKUP(R3,IMP2VP,6,FALSE)</f>
        <v>25</v>
      </c>
      <c r="O9" s="37" t="s">
        <v>11</v>
      </c>
      <c r="P9" s="8">
        <f t="shared" si="0"/>
        <v>29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Haugaland 6</v>
      </c>
      <c r="C10" s="7" t="s">
        <v>11</v>
      </c>
      <c r="D10" s="6" t="str">
        <f>VLOOKUP(VLOOKUP(A7,Oppsett,7),Lag,2)</f>
        <v>Haugaland 7</v>
      </c>
      <c r="E10" s="20">
        <v>51</v>
      </c>
      <c r="F10" s="35" t="s">
        <v>11</v>
      </c>
      <c r="G10" s="22">
        <v>67</v>
      </c>
      <c r="H10" s="23">
        <v>12</v>
      </c>
      <c r="I10" s="21" t="s">
        <v>11</v>
      </c>
      <c r="J10" s="22">
        <v>18</v>
      </c>
      <c r="K10" s="8"/>
      <c r="L10" s="8"/>
      <c r="M10" s="8"/>
      <c r="N10" s="36">
        <f>HLOOKUP(R3,IMP2VP,7,FALSE)</f>
        <v>30</v>
      </c>
      <c r="O10" s="37" t="s">
        <v>11</v>
      </c>
      <c r="P10" s="8">
        <f t="shared" si="0"/>
        <v>34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Walk Over</v>
      </c>
      <c r="C11" s="15" t="s">
        <v>11</v>
      </c>
      <c r="D11" s="14" t="str">
        <f>VLOOKUP(VLOOKUP(A7,Oppsett,9),Lag,2)</f>
        <v>Haugaland 10</v>
      </c>
      <c r="E11" s="72"/>
      <c r="F11" s="73" t="s">
        <v>11</v>
      </c>
      <c r="G11" s="74"/>
      <c r="H11" s="75"/>
      <c r="I11" s="76" t="s">
        <v>11</v>
      </c>
      <c r="J11" s="74">
        <v>17</v>
      </c>
      <c r="K11" s="8"/>
      <c r="L11" s="8"/>
      <c r="M11" s="8"/>
      <c r="N11" s="36">
        <f>HLOOKUP(R3,IMP2VP,8,FALSE)</f>
        <v>35</v>
      </c>
      <c r="O11" s="37" t="s">
        <v>11</v>
      </c>
      <c r="P11" s="8">
        <f t="shared" si="0"/>
        <v>39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40</v>
      </c>
      <c r="O12" s="37" t="s">
        <v>11</v>
      </c>
      <c r="P12" s="8">
        <f t="shared" si="0"/>
        <v>45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6" t="str">
        <f>Definisjoner!C19</f>
        <v>Kamp 3</v>
      </c>
      <c r="B13" s="177"/>
      <c r="C13" s="177"/>
      <c r="D13" s="177"/>
      <c r="E13" s="175" t="s">
        <v>9</v>
      </c>
      <c r="F13" s="175"/>
      <c r="G13" s="175"/>
      <c r="H13" s="174" t="s">
        <v>8</v>
      </c>
      <c r="I13" s="174"/>
      <c r="J13" s="174"/>
      <c r="N13" s="36">
        <f>HLOOKUP(R3,IMP2VP,10,FALSE)</f>
        <v>46</v>
      </c>
      <c r="O13" s="37" t="s">
        <v>11</v>
      </c>
      <c r="P13" s="8">
        <f t="shared" si="0"/>
        <v>51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Haugaland 8</v>
      </c>
      <c r="C14" s="11" t="s">
        <v>11</v>
      </c>
      <c r="D14" s="10" t="str">
        <f>VLOOKUP(VLOOKUP(A13,Oppsett,3),Lag,2)</f>
        <v>Haugaland 6</v>
      </c>
      <c r="E14" s="16">
        <v>27</v>
      </c>
      <c r="F14" s="17" t="s">
        <v>11</v>
      </c>
      <c r="G14" s="18">
        <v>57</v>
      </c>
      <c r="H14" s="19">
        <v>9</v>
      </c>
      <c r="I14" s="34" t="s">
        <v>11</v>
      </c>
      <c r="J14" s="18">
        <v>21</v>
      </c>
      <c r="N14" s="36">
        <f>HLOOKUP(R3,IMP2VP,11,FALSE)</f>
        <v>52</v>
      </c>
      <c r="O14" s="37" t="s">
        <v>11</v>
      </c>
      <c r="P14" s="8">
        <f t="shared" si="0"/>
        <v>57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Haugaland 9</v>
      </c>
      <c r="C15" s="7" t="s">
        <v>11</v>
      </c>
      <c r="D15" s="6" t="str">
        <f>VLOOKUP(VLOOKUP(A13,Oppsett,5),Lag,2)</f>
        <v>Haugaland 12</v>
      </c>
      <c r="E15" s="20">
        <v>88</v>
      </c>
      <c r="F15" s="21" t="s">
        <v>11</v>
      </c>
      <c r="G15" s="22">
        <v>42</v>
      </c>
      <c r="H15" s="23">
        <v>24</v>
      </c>
      <c r="I15" s="35" t="s">
        <v>11</v>
      </c>
      <c r="J15" s="22">
        <v>6</v>
      </c>
      <c r="N15" s="36">
        <f>HLOOKUP(R3,IMP2VP,12,FALSE)</f>
        <v>58</v>
      </c>
      <c r="O15" s="37" t="s">
        <v>11</v>
      </c>
      <c r="P15" s="8">
        <f t="shared" si="0"/>
        <v>64</v>
      </c>
      <c r="Q15" s="8"/>
      <c r="R15" s="8">
        <v>25</v>
      </c>
      <c r="S15" s="37" t="s">
        <v>11</v>
      </c>
      <c r="T15" s="38">
        <v>4</v>
      </c>
      <c r="W15" s="129"/>
    </row>
    <row r="16" spans="1:23" ht="15" customHeight="1">
      <c r="A16" s="12">
        <v>3</v>
      </c>
      <c r="B16" s="6" t="str">
        <f>VLOOKUP(VLOOKUP(A13,Oppsett,6),Lag,2)</f>
        <v>Haugaland 10</v>
      </c>
      <c r="C16" s="7" t="s">
        <v>11</v>
      </c>
      <c r="D16" s="6" t="str">
        <f>VLOOKUP(VLOOKUP(A13,Oppsett,7),Lag,2)</f>
        <v>Haugaland 11</v>
      </c>
      <c r="E16" s="20">
        <v>25</v>
      </c>
      <c r="F16" s="21" t="s">
        <v>11</v>
      </c>
      <c r="G16" s="22">
        <v>53</v>
      </c>
      <c r="H16" s="23">
        <v>10</v>
      </c>
      <c r="I16" s="35" t="s">
        <v>11</v>
      </c>
      <c r="J16" s="22">
        <v>20</v>
      </c>
      <c r="N16" s="36">
        <f>HLOOKUP(R3,IMP2VP,13,FALSE)</f>
        <v>65</v>
      </c>
      <c r="O16" s="37" t="s">
        <v>11</v>
      </c>
      <c r="P16" s="8">
        <f t="shared" si="0"/>
        <v>71</v>
      </c>
      <c r="Q16" s="8"/>
      <c r="R16" s="8">
        <v>25</v>
      </c>
      <c r="S16" s="37" t="s">
        <v>11</v>
      </c>
      <c r="T16" s="38">
        <v>3</v>
      </c>
      <c r="W16" s="129"/>
    </row>
    <row r="17" spans="1:23" ht="15" customHeight="1" thickBot="1">
      <c r="A17" s="13">
        <v>4</v>
      </c>
      <c r="B17" s="14" t="str">
        <f>VLOOKUP(VLOOKUP(A13,Oppsett,8),Lag,2)</f>
        <v>Haugaland 7</v>
      </c>
      <c r="C17" s="15" t="s">
        <v>11</v>
      </c>
      <c r="D17" s="14" t="str">
        <f>VLOOKUP(VLOOKUP(A13,Oppsett,9),Lag,2)</f>
        <v>Walk Over</v>
      </c>
      <c r="E17" s="72"/>
      <c r="F17" s="73" t="s">
        <v>11</v>
      </c>
      <c r="G17" s="74"/>
      <c r="H17" s="75">
        <v>17</v>
      </c>
      <c r="I17" s="76" t="s">
        <v>11</v>
      </c>
      <c r="J17" s="74"/>
      <c r="N17" s="36">
        <f>HLOOKUP(R3,IMP2VP,14,FALSE)</f>
        <v>72</v>
      </c>
      <c r="O17" s="37" t="s">
        <v>11</v>
      </c>
      <c r="P17" s="8">
        <f t="shared" si="0"/>
        <v>79</v>
      </c>
      <c r="Q17" s="8"/>
      <c r="R17" s="8">
        <v>25</v>
      </c>
      <c r="S17" s="37" t="s">
        <v>11</v>
      </c>
      <c r="T17" s="38">
        <v>2</v>
      </c>
      <c r="W17" s="129"/>
    </row>
    <row r="18" spans="14:23" ht="15" customHeight="1">
      <c r="N18" s="36">
        <f>HLOOKUP(R3,IMP2VP,15,FALSE)</f>
        <v>80</v>
      </c>
      <c r="O18" s="37" t="s">
        <v>11</v>
      </c>
      <c r="P18" s="8">
        <f t="shared" si="0"/>
        <v>87</v>
      </c>
      <c r="Q18" s="8"/>
      <c r="R18" s="8">
        <v>25</v>
      </c>
      <c r="S18" s="37" t="s">
        <v>11</v>
      </c>
      <c r="T18" s="38">
        <v>1</v>
      </c>
      <c r="W18" s="129"/>
    </row>
    <row r="19" spans="1:23" ht="15" customHeight="1" thickBot="1">
      <c r="A19" s="176" t="str">
        <f>Definisjoner!C20</f>
        <v>Kamp 4</v>
      </c>
      <c r="B19" s="177"/>
      <c r="C19" s="177"/>
      <c r="D19" s="177"/>
      <c r="E19" s="175" t="s">
        <v>9</v>
      </c>
      <c r="F19" s="175"/>
      <c r="G19" s="175"/>
      <c r="H19" s="174" t="s">
        <v>8</v>
      </c>
      <c r="I19" s="174"/>
      <c r="J19" s="174"/>
      <c r="N19" s="39">
        <f>HLOOKUP(R3,IMP2VP,16,FALSE)</f>
        <v>88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9"/>
    </row>
    <row r="20" spans="1:23" ht="15" customHeight="1">
      <c r="A20" s="9">
        <v>1</v>
      </c>
      <c r="B20" s="10" t="str">
        <f>VLOOKUP(VLOOKUP(A19,Oppsett,2),Lag,2)</f>
        <v>Haugaland 12</v>
      </c>
      <c r="C20" s="11" t="s">
        <v>11</v>
      </c>
      <c r="D20" s="10" t="str">
        <f>VLOOKUP(VLOOKUP(A19,Oppsett,3),Lag,2)</f>
        <v>Haugaland 10</v>
      </c>
      <c r="E20" s="16">
        <v>34</v>
      </c>
      <c r="F20" s="17" t="s">
        <v>11</v>
      </c>
      <c r="G20" s="18">
        <v>82</v>
      </c>
      <c r="H20" s="19">
        <v>6</v>
      </c>
      <c r="I20" s="34" t="s">
        <v>11</v>
      </c>
      <c r="J20" s="18">
        <v>24</v>
      </c>
      <c r="W20" s="129"/>
    </row>
    <row r="21" spans="1:23" ht="15" customHeight="1">
      <c r="A21" s="12">
        <v>2</v>
      </c>
      <c r="B21" s="6" t="str">
        <f>VLOOKUP(VLOOKUP(A19,Oppsett,4),Lag,2)</f>
        <v>Haugaland 6</v>
      </c>
      <c r="C21" s="7" t="s">
        <v>11</v>
      </c>
      <c r="D21" s="6" t="str">
        <f>VLOOKUP(VLOOKUP(A19,Oppsett,5),Lag,2)</f>
        <v>Haugaland 9</v>
      </c>
      <c r="E21" s="20">
        <v>81</v>
      </c>
      <c r="F21" s="21" t="s">
        <v>11</v>
      </c>
      <c r="G21" s="22">
        <v>41</v>
      </c>
      <c r="H21" s="23">
        <v>23</v>
      </c>
      <c r="I21" s="35" t="s">
        <v>11</v>
      </c>
      <c r="J21" s="22">
        <v>7</v>
      </c>
      <c r="W21" s="129"/>
    </row>
    <row r="22" spans="1:10" ht="15" customHeight="1">
      <c r="A22" s="12">
        <v>3</v>
      </c>
      <c r="B22" s="6" t="str">
        <f>VLOOKUP(VLOOKUP(A19,Oppsett,6),Lag,2)</f>
        <v>Haugaland 7</v>
      </c>
      <c r="C22" s="7" t="s">
        <v>11</v>
      </c>
      <c r="D22" s="6" t="str">
        <f>VLOOKUP(VLOOKUP(A19,Oppsett,7),Lag,2)</f>
        <v>Haugaland 8</v>
      </c>
      <c r="E22" s="20">
        <v>86</v>
      </c>
      <c r="F22" s="21" t="s">
        <v>11</v>
      </c>
      <c r="G22" s="22">
        <v>46</v>
      </c>
      <c r="H22" s="23">
        <v>23</v>
      </c>
      <c r="I22" s="35" t="s">
        <v>11</v>
      </c>
      <c r="J22" s="22">
        <v>7</v>
      </c>
    </row>
    <row r="23" spans="1:10" ht="15" customHeight="1" thickBot="1">
      <c r="A23" s="13">
        <v>4</v>
      </c>
      <c r="B23" s="14" t="str">
        <f>VLOOKUP(VLOOKUP(A19,Oppsett,8),Lag,2)</f>
        <v>Walk Over</v>
      </c>
      <c r="C23" s="15" t="s">
        <v>11</v>
      </c>
      <c r="D23" s="14" t="str">
        <f>VLOOKUP(VLOOKUP(A19,Oppsett,9),Lag,2)</f>
        <v>Haugaland 11</v>
      </c>
      <c r="E23" s="72"/>
      <c r="F23" s="73" t="s">
        <v>11</v>
      </c>
      <c r="G23" s="74"/>
      <c r="H23" s="75"/>
      <c r="I23" s="76" t="s">
        <v>11</v>
      </c>
      <c r="J23" s="74">
        <v>17</v>
      </c>
    </row>
    <row r="25" spans="1:10" ht="15" customHeight="1" thickBot="1">
      <c r="A25" s="176" t="str">
        <f>Definisjoner!C21</f>
        <v>Kamp 5</v>
      </c>
      <c r="B25" s="177"/>
      <c r="C25" s="177"/>
      <c r="D25" s="177"/>
      <c r="E25" s="175" t="s">
        <v>9</v>
      </c>
      <c r="F25" s="175"/>
      <c r="G25" s="175"/>
      <c r="H25" s="174" t="s">
        <v>8</v>
      </c>
      <c r="I25" s="174"/>
      <c r="J25" s="174"/>
    </row>
    <row r="26" spans="1:10" ht="15" customHeight="1">
      <c r="A26" s="9">
        <v>1</v>
      </c>
      <c r="B26" s="10" t="str">
        <f>VLOOKUP(VLOOKUP(A25,Oppsett,2),Lag,2)</f>
        <v>Haugaland 9</v>
      </c>
      <c r="C26" s="11" t="s">
        <v>11</v>
      </c>
      <c r="D26" s="10" t="str">
        <f>VLOOKUP(VLOOKUP(A25,Oppsett,3),Lag,2)</f>
        <v>Haugaland 7</v>
      </c>
      <c r="E26" s="16">
        <v>30</v>
      </c>
      <c r="F26" s="17" t="s">
        <v>11</v>
      </c>
      <c r="G26" s="18">
        <v>72</v>
      </c>
      <c r="H26" s="19">
        <v>7</v>
      </c>
      <c r="I26" s="34" t="s">
        <v>11</v>
      </c>
      <c r="J26" s="18">
        <v>23</v>
      </c>
    </row>
    <row r="27" spans="1:10" ht="15" customHeight="1">
      <c r="A27" s="12">
        <v>2</v>
      </c>
      <c r="B27" s="6" t="str">
        <f>VLOOKUP(VLOOKUP(A25,Oppsett,4),Lag,2)</f>
        <v>Haugaland 10</v>
      </c>
      <c r="C27" s="7" t="s">
        <v>11</v>
      </c>
      <c r="D27" s="6" t="str">
        <f>VLOOKUP(VLOOKUP(A25,Oppsett,5),Lag,2)</f>
        <v>Haugaland 6</v>
      </c>
      <c r="E27" s="20">
        <v>48</v>
      </c>
      <c r="F27" s="21" t="s">
        <v>11</v>
      </c>
      <c r="G27" s="22">
        <v>48</v>
      </c>
      <c r="H27" s="23">
        <v>15</v>
      </c>
      <c r="I27" s="35" t="s">
        <v>11</v>
      </c>
      <c r="J27" s="22">
        <v>15</v>
      </c>
    </row>
    <row r="28" spans="1:10" ht="15" customHeight="1">
      <c r="A28" s="12">
        <v>3</v>
      </c>
      <c r="B28" s="6" t="str">
        <f>VLOOKUP(VLOOKUP(A25,Oppsett,6),Lag,2)</f>
        <v>Haugaland 11</v>
      </c>
      <c r="C28" s="7" t="s">
        <v>11</v>
      </c>
      <c r="D28" s="6" t="str">
        <f>VLOOKUP(VLOOKUP(A25,Oppsett,7),Lag,2)</f>
        <v>Haugaland 12</v>
      </c>
      <c r="E28" s="20">
        <v>73</v>
      </c>
      <c r="F28" s="21" t="s">
        <v>11</v>
      </c>
      <c r="G28" s="22">
        <v>45</v>
      </c>
      <c r="H28" s="23">
        <v>20</v>
      </c>
      <c r="I28" s="35" t="s">
        <v>11</v>
      </c>
      <c r="J28" s="22">
        <v>10</v>
      </c>
    </row>
    <row r="29" spans="1:10" ht="15" customHeight="1" thickBot="1">
      <c r="A29" s="13">
        <v>4</v>
      </c>
      <c r="B29" s="14" t="str">
        <f>VLOOKUP(VLOOKUP(A25,Oppsett,8),Lag,2)</f>
        <v>Haugaland 8</v>
      </c>
      <c r="C29" s="15" t="s">
        <v>11</v>
      </c>
      <c r="D29" s="14" t="str">
        <f>VLOOKUP(VLOOKUP(A25,Oppsett,9),Lag,2)</f>
        <v>Walk Over</v>
      </c>
      <c r="E29" s="72"/>
      <c r="F29" s="73" t="s">
        <v>11</v>
      </c>
      <c r="G29" s="74"/>
      <c r="H29" s="75">
        <v>17</v>
      </c>
      <c r="I29" s="76" t="s">
        <v>11</v>
      </c>
      <c r="J29" s="74"/>
    </row>
    <row r="31" spans="1:10" ht="15" customHeight="1" thickBot="1">
      <c r="A31" s="176" t="str">
        <f>Definisjoner!C22</f>
        <v>Kamp 6</v>
      </c>
      <c r="B31" s="177"/>
      <c r="C31" s="177"/>
      <c r="D31" s="177"/>
      <c r="E31" s="175" t="s">
        <v>9</v>
      </c>
      <c r="F31" s="175"/>
      <c r="G31" s="175"/>
      <c r="H31" s="174" t="s">
        <v>8</v>
      </c>
      <c r="I31" s="174"/>
      <c r="J31" s="174"/>
    </row>
    <row r="32" spans="1:10" ht="15" customHeight="1">
      <c r="A32" s="9">
        <v>1</v>
      </c>
      <c r="B32" s="10" t="str">
        <f>VLOOKUP(VLOOKUP(A31,Oppsett,2),Lag,2)</f>
        <v>Haugaland 6</v>
      </c>
      <c r="C32" s="11" t="s">
        <v>11</v>
      </c>
      <c r="D32" s="10" t="str">
        <f>VLOOKUP(VLOOKUP(A31,Oppsett,3),Lag,2)</f>
        <v>Haugaland 11</v>
      </c>
      <c r="E32" s="16"/>
      <c r="F32" s="17" t="s">
        <v>11</v>
      </c>
      <c r="G32" s="18"/>
      <c r="H32" s="19"/>
      <c r="I32" s="34" t="s">
        <v>11</v>
      </c>
      <c r="J32" s="18"/>
    </row>
    <row r="33" spans="1:10" ht="15" customHeight="1">
      <c r="A33" s="12">
        <v>2</v>
      </c>
      <c r="B33" s="6" t="str">
        <f>VLOOKUP(VLOOKUP(A31,Oppsett,4),Lag,2)</f>
        <v>Haugaland 7</v>
      </c>
      <c r="C33" s="7" t="s">
        <v>11</v>
      </c>
      <c r="D33" s="6" t="str">
        <f>VLOOKUP(VLOOKUP(A31,Oppsett,5),Lag,2)</f>
        <v>Haugaland 10</v>
      </c>
      <c r="E33" s="20"/>
      <c r="F33" s="21" t="s">
        <v>11</v>
      </c>
      <c r="G33" s="22"/>
      <c r="H33" s="23"/>
      <c r="I33" s="35" t="s">
        <v>11</v>
      </c>
      <c r="J33" s="22"/>
    </row>
    <row r="34" spans="1:10" ht="15" customHeight="1">
      <c r="A34" s="12">
        <v>3</v>
      </c>
      <c r="B34" s="6" t="str">
        <f>VLOOKUP(VLOOKUP(A31,Oppsett,6),Lag,2)</f>
        <v>Haugaland 8</v>
      </c>
      <c r="C34" s="7" t="s">
        <v>11</v>
      </c>
      <c r="D34" s="6" t="str">
        <f>VLOOKUP(VLOOKUP(A31,Oppsett,7),Lag,2)</f>
        <v>Haugaland 9</v>
      </c>
      <c r="E34" s="20"/>
      <c r="F34" s="21" t="s">
        <v>11</v>
      </c>
      <c r="G34" s="22"/>
      <c r="H34" s="23"/>
      <c r="I34" s="35" t="s">
        <v>11</v>
      </c>
      <c r="J34" s="22"/>
    </row>
    <row r="35" spans="1:10" ht="15" customHeight="1" thickBot="1">
      <c r="A35" s="13">
        <v>4</v>
      </c>
      <c r="B35" s="14" t="str">
        <f>VLOOKUP(VLOOKUP(A31,Oppsett,8),Lag,2)</f>
        <v>Walk Over</v>
      </c>
      <c r="C35" s="15" t="s">
        <v>11</v>
      </c>
      <c r="D35" s="14" t="str">
        <f>VLOOKUP(VLOOKUP(A31,Oppsett,9),Lag,2)</f>
        <v>Haugaland 12</v>
      </c>
      <c r="E35" s="72"/>
      <c r="F35" s="73" t="s">
        <v>11</v>
      </c>
      <c r="G35" s="74"/>
      <c r="H35" s="75"/>
      <c r="I35" s="76" t="s">
        <v>11</v>
      </c>
      <c r="J35" s="74"/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6" t="str">
        <f>Definisjoner!C23</f>
        <v>Kamp 7</v>
      </c>
      <c r="B37" s="177"/>
      <c r="C37" s="177"/>
      <c r="D37" s="177"/>
      <c r="E37" s="175" t="s">
        <v>9</v>
      </c>
      <c r="F37" s="175"/>
      <c r="G37" s="175"/>
      <c r="H37" s="174" t="s">
        <v>8</v>
      </c>
      <c r="I37" s="174"/>
      <c r="J37" s="174"/>
    </row>
    <row r="38" spans="1:12" ht="15" customHeight="1">
      <c r="A38" s="9">
        <v>1</v>
      </c>
      <c r="B38" s="10" t="str">
        <f>VLOOKUP(VLOOKUP(A37,Oppsett,2),Lag,2)</f>
        <v>Haugaland 10</v>
      </c>
      <c r="C38" s="11" t="s">
        <v>11</v>
      </c>
      <c r="D38" s="10" t="str">
        <f>VLOOKUP(VLOOKUP(A37,Oppsett,3),Lag,2)</f>
        <v>Haugaland 8</v>
      </c>
      <c r="E38" s="16"/>
      <c r="F38" s="17" t="s">
        <v>11</v>
      </c>
      <c r="G38" s="18"/>
      <c r="H38" s="19"/>
      <c r="I38" s="34" t="s">
        <v>11</v>
      </c>
      <c r="J38" s="18"/>
      <c r="K38" s="47"/>
      <c r="L38" s="47"/>
    </row>
    <row r="39" spans="1:10" ht="15" customHeight="1">
      <c r="A39" s="12">
        <v>2</v>
      </c>
      <c r="B39" s="6" t="str">
        <f>VLOOKUP(VLOOKUP(A37,Oppsett,4),Lag,2)</f>
        <v>Haugaland 11</v>
      </c>
      <c r="C39" s="7" t="s">
        <v>11</v>
      </c>
      <c r="D39" s="6" t="str">
        <f>VLOOKUP(VLOOKUP(A37,Oppsett,5),Lag,2)</f>
        <v>Haugaland 7</v>
      </c>
      <c r="E39" s="20"/>
      <c r="F39" s="21" t="s">
        <v>11</v>
      </c>
      <c r="G39" s="22"/>
      <c r="H39" s="23"/>
      <c r="I39" s="35" t="s">
        <v>11</v>
      </c>
      <c r="J39" s="22"/>
    </row>
    <row r="40" spans="1:10" ht="15" customHeight="1">
      <c r="A40" s="12">
        <v>3</v>
      </c>
      <c r="B40" s="6" t="str">
        <f>VLOOKUP(VLOOKUP(A37,Oppsett,6),Lag,2)</f>
        <v>Haugaland 12</v>
      </c>
      <c r="C40" s="7" t="s">
        <v>11</v>
      </c>
      <c r="D40" s="6" t="str">
        <f>VLOOKUP(VLOOKUP(A37,Oppsett,7),Lag,2)</f>
        <v>Haugaland 6</v>
      </c>
      <c r="E40" s="20"/>
      <c r="F40" s="21" t="s">
        <v>11</v>
      </c>
      <c r="G40" s="22"/>
      <c r="H40" s="23"/>
      <c r="I40" s="35" t="s">
        <v>11</v>
      </c>
      <c r="J40" s="22"/>
    </row>
    <row r="41" spans="1:10" ht="15" customHeight="1" thickBot="1">
      <c r="A41" s="13">
        <v>4</v>
      </c>
      <c r="B41" s="14" t="str">
        <f>VLOOKUP(VLOOKUP(A37,Oppsett,8),Lag,2)</f>
        <v>Haugaland 9</v>
      </c>
      <c r="C41" s="15" t="s">
        <v>11</v>
      </c>
      <c r="D41" s="14" t="str">
        <f>VLOOKUP(VLOOKUP(A37,Oppsett,9),Lag,2)</f>
        <v>Walk Over</v>
      </c>
      <c r="E41" s="72"/>
      <c r="F41" s="73" t="s">
        <v>11</v>
      </c>
      <c r="G41" s="74"/>
      <c r="H41" s="75"/>
      <c r="I41" s="76" t="s">
        <v>11</v>
      </c>
      <c r="J41" s="74"/>
    </row>
  </sheetData>
  <sheetProtection/>
  <mergeCells count="25">
    <mergeCell ref="E37:G37"/>
    <mergeCell ref="H37:J37"/>
    <mergeCell ref="E31:G31"/>
    <mergeCell ref="H31:J31"/>
    <mergeCell ref="A25:D25"/>
    <mergeCell ref="A31:D31"/>
    <mergeCell ref="A37:D37"/>
    <mergeCell ref="E25:G25"/>
    <mergeCell ref="H25:J25"/>
    <mergeCell ref="A1:D1"/>
    <mergeCell ref="A7:D7"/>
    <mergeCell ref="A13:D13"/>
    <mergeCell ref="A19:D19"/>
    <mergeCell ref="E7:G7"/>
    <mergeCell ref="H7:J7"/>
    <mergeCell ref="E13:G13"/>
    <mergeCell ref="H13:J13"/>
    <mergeCell ref="E19:G19"/>
    <mergeCell ref="H19:J19"/>
    <mergeCell ref="S3:T3"/>
    <mergeCell ref="N3:Q3"/>
    <mergeCell ref="N1:T1"/>
    <mergeCell ref="E1:G1"/>
    <mergeCell ref="H1:J1"/>
    <mergeCell ref="K1:L1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4"/>
  <sheetViews>
    <sheetView zoomScale="75" zoomScaleNormal="75" zoomScalePageLayoutView="0" workbookViewId="0" topLeftCell="A1">
      <pane ySplit="4" topLeftCell="A14" activePane="bottomLeft" state="frozen"/>
      <selection pane="topLeft" activeCell="E9" sqref="E9"/>
      <selection pane="bottomLeft" activeCell="B54" sqref="B54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4" t="str">
        <f>Overskrift_MP</f>
        <v>Registrering av forbundspoeng (4 FP til laget for vunnet kamp) og spilte kamper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2" t="s">
        <v>13</v>
      </c>
      <c r="I2" s="183"/>
      <c r="J2" s="182" t="s">
        <v>14</v>
      </c>
      <c r="K2" s="183"/>
      <c r="L2" s="182" t="s">
        <v>15</v>
      </c>
      <c r="M2" s="183"/>
      <c r="N2" s="182" t="s">
        <v>16</v>
      </c>
      <c r="O2" s="183"/>
      <c r="P2" s="182" t="s">
        <v>17</v>
      </c>
      <c r="Q2" s="183"/>
      <c r="R2" s="182" t="s">
        <v>18</v>
      </c>
      <c r="S2" s="183"/>
      <c r="T2" s="182" t="s">
        <v>19</v>
      </c>
      <c r="U2" s="183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COUNTA(E5:E76)</f>
        <v>0</v>
      </c>
      <c r="E4" s="59" t="s">
        <v>7</v>
      </c>
      <c r="F4" s="62">
        <f aca="true" t="shared" si="0" ref="F4:V4">SUM(F5:F76)</f>
        <v>0</v>
      </c>
      <c r="G4" s="62">
        <f t="shared" si="0"/>
        <v>0</v>
      </c>
      <c r="H4" s="50">
        <f t="shared" si="0"/>
        <v>0</v>
      </c>
      <c r="I4" s="54">
        <f t="shared" si="0"/>
        <v>0</v>
      </c>
      <c r="J4" s="50">
        <f t="shared" si="0"/>
        <v>0</v>
      </c>
      <c r="K4" s="54">
        <f t="shared" si="0"/>
        <v>0</v>
      </c>
      <c r="L4" s="50">
        <f t="shared" si="0"/>
        <v>0</v>
      </c>
      <c r="M4" s="54">
        <f t="shared" si="0"/>
        <v>0</v>
      </c>
      <c r="N4" s="50">
        <f t="shared" si="0"/>
        <v>0</v>
      </c>
      <c r="O4" s="54">
        <f t="shared" si="0"/>
        <v>0</v>
      </c>
      <c r="P4" s="50">
        <f t="shared" si="0"/>
        <v>0</v>
      </c>
      <c r="Q4" s="54">
        <f t="shared" si="0"/>
        <v>0</v>
      </c>
      <c r="R4" s="50">
        <f t="shared" si="0"/>
        <v>0</v>
      </c>
      <c r="S4" s="54">
        <f t="shared" si="0"/>
        <v>0</v>
      </c>
      <c r="T4" s="50">
        <f t="shared" si="0"/>
        <v>0</v>
      </c>
      <c r="U4" s="54">
        <f t="shared" si="0"/>
        <v>0</v>
      </c>
      <c r="V4" s="90">
        <f t="shared" si="0"/>
        <v>0</v>
      </c>
    </row>
    <row r="5" spans="1:22" ht="12.75">
      <c r="A5" s="178" t="str">
        <f>Definisjoner!B2</f>
        <v>Haugaland 6</v>
      </c>
      <c r="B5" s="187" t="str">
        <f>Definisjoner!C2</f>
        <v>Egil Nerheim</v>
      </c>
      <c r="C5" s="26"/>
      <c r="D5" s="26"/>
      <c r="E5" s="58"/>
      <c r="F5" s="82">
        <f aca="true" t="shared" si="1" ref="F5:F36">IF($E5="","",SUM(H5:V5))</f>
      </c>
      <c r="G5" s="116">
        <f aca="true" t="shared" si="2" ref="G5:G36">IF($E5="","",COUNT(H5:U5))</f>
      </c>
      <c r="H5" s="83"/>
      <c r="I5" s="55"/>
      <c r="J5" s="83"/>
      <c r="K5" s="55"/>
      <c r="L5" s="83"/>
      <c r="M5" s="55"/>
      <c r="N5" s="83"/>
      <c r="O5" s="55"/>
      <c r="P5" s="81"/>
      <c r="Q5" s="82"/>
      <c r="R5" s="24"/>
      <c r="S5" s="55"/>
      <c r="T5" s="24"/>
      <c r="U5" s="55"/>
      <c r="V5" s="89"/>
    </row>
    <row r="6" spans="1:22" ht="12.75">
      <c r="A6" s="178"/>
      <c r="B6" s="187"/>
      <c r="C6" s="27"/>
      <c r="D6" s="27"/>
      <c r="E6" s="60"/>
      <c r="F6" s="55">
        <f t="shared" si="1"/>
      </c>
      <c r="G6" s="117">
        <f t="shared" si="2"/>
      </c>
      <c r="H6" s="83"/>
      <c r="I6" s="55"/>
      <c r="J6" s="83"/>
      <c r="K6" s="55"/>
      <c r="L6" s="83"/>
      <c r="M6" s="55"/>
      <c r="N6" s="83"/>
      <c r="O6" s="55"/>
      <c r="P6" s="83"/>
      <c r="Q6" s="55"/>
      <c r="R6" s="83"/>
      <c r="S6" s="55"/>
      <c r="T6" s="24"/>
      <c r="U6" s="55"/>
      <c r="V6" s="89"/>
    </row>
    <row r="7" spans="1:22" ht="12.75">
      <c r="A7" s="178"/>
      <c r="B7" s="187"/>
      <c r="C7" s="27"/>
      <c r="D7" s="27"/>
      <c r="E7" s="60"/>
      <c r="F7" s="55">
        <f t="shared" si="1"/>
      </c>
      <c r="G7" s="117">
        <f t="shared" si="2"/>
      </c>
      <c r="H7" s="83"/>
      <c r="I7" s="55"/>
      <c r="J7" s="83"/>
      <c r="K7" s="55"/>
      <c r="L7" s="83"/>
      <c r="M7" s="55"/>
      <c r="N7" s="83"/>
      <c r="O7" s="55"/>
      <c r="P7" s="24"/>
      <c r="Q7" s="55"/>
      <c r="R7" s="83"/>
      <c r="S7" s="55"/>
      <c r="T7" s="24"/>
      <c r="U7" s="55"/>
      <c r="V7" s="89"/>
    </row>
    <row r="8" spans="1:22" ht="12.75">
      <c r="A8" s="178"/>
      <c r="B8" s="187"/>
      <c r="C8" s="26"/>
      <c r="D8" s="26"/>
      <c r="E8" s="58"/>
      <c r="F8" s="55">
        <f t="shared" si="1"/>
      </c>
      <c r="G8" s="117">
        <f t="shared" si="2"/>
      </c>
      <c r="H8" s="83"/>
      <c r="I8" s="55"/>
      <c r="J8" s="83"/>
      <c r="K8" s="55"/>
      <c r="L8" s="83"/>
      <c r="M8" s="55"/>
      <c r="N8" s="83"/>
      <c r="O8" s="55"/>
      <c r="P8" s="24"/>
      <c r="Q8" s="55"/>
      <c r="R8" s="24"/>
      <c r="S8" s="55"/>
      <c r="T8" s="24"/>
      <c r="U8" s="55"/>
      <c r="V8" s="89"/>
    </row>
    <row r="9" spans="1:22" ht="12.75">
      <c r="A9" s="178"/>
      <c r="B9" s="187"/>
      <c r="C9" s="26"/>
      <c r="D9" s="26"/>
      <c r="E9" s="58"/>
      <c r="F9" s="55">
        <f t="shared" si="1"/>
      </c>
      <c r="G9" s="117">
        <f t="shared" si="2"/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/>
      <c r="S9" s="55"/>
      <c r="T9" s="24"/>
      <c r="U9" s="55"/>
      <c r="V9" s="89"/>
    </row>
    <row r="10" spans="1:22" s="51" customFormat="1" ht="12.75">
      <c r="A10" s="179"/>
      <c r="B10" s="189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78" t="str">
        <f>Definisjoner!B3</f>
        <v>Haugaland 7</v>
      </c>
      <c r="B11" s="187" t="str">
        <f>Definisjoner!C3</f>
        <v>Arvid Måkestad</v>
      </c>
      <c r="C11" s="27"/>
      <c r="D11" s="27"/>
      <c r="E11" s="60"/>
      <c r="F11" s="82">
        <f t="shared" si="1"/>
      </c>
      <c r="G11" s="116">
        <f t="shared" si="2"/>
      </c>
      <c r="H11" s="81"/>
      <c r="I11" s="82"/>
      <c r="J11" s="81"/>
      <c r="K11" s="82"/>
      <c r="L11" s="81"/>
      <c r="M11" s="82"/>
      <c r="N11" s="81"/>
      <c r="O11" s="82"/>
      <c r="P11" s="83"/>
      <c r="Q11" s="55"/>
      <c r="R11" s="81"/>
      <c r="S11" s="82"/>
      <c r="T11" s="83"/>
      <c r="U11" s="55"/>
      <c r="V11" s="89"/>
    </row>
    <row r="12" spans="1:22" ht="12.75">
      <c r="A12" s="178"/>
      <c r="B12" s="187"/>
      <c r="C12" s="26"/>
      <c r="D12" s="26"/>
      <c r="E12" s="58"/>
      <c r="F12" s="55">
        <f t="shared" si="1"/>
      </c>
      <c r="G12" s="117">
        <f t="shared" si="2"/>
      </c>
      <c r="H12" s="83"/>
      <c r="I12" s="55"/>
      <c r="J12" s="83"/>
      <c r="K12" s="55"/>
      <c r="L12" s="83"/>
      <c r="M12" s="55"/>
      <c r="N12" s="83"/>
      <c r="O12" s="55"/>
      <c r="P12" s="83"/>
      <c r="Q12" s="55"/>
      <c r="R12" s="83"/>
      <c r="S12" s="55"/>
      <c r="T12" s="83"/>
      <c r="U12" s="55"/>
      <c r="V12" s="89"/>
    </row>
    <row r="13" spans="1:22" ht="12.75">
      <c r="A13" s="178"/>
      <c r="B13" s="187"/>
      <c r="C13" s="26"/>
      <c r="D13" s="26"/>
      <c r="E13" s="58"/>
      <c r="F13" s="55">
        <f t="shared" si="1"/>
      </c>
      <c r="G13" s="117">
        <f t="shared" si="2"/>
      </c>
      <c r="H13" s="83"/>
      <c r="I13" s="55"/>
      <c r="J13" s="83"/>
      <c r="K13" s="55"/>
      <c r="L13" s="83"/>
      <c r="M13" s="55"/>
      <c r="N13" s="83"/>
      <c r="O13" s="55"/>
      <c r="P13" s="83"/>
      <c r="Q13" s="55"/>
      <c r="R13" s="83"/>
      <c r="S13" s="55"/>
      <c r="T13" s="83"/>
      <c r="U13" s="55"/>
      <c r="V13" s="89"/>
    </row>
    <row r="14" spans="1:22" ht="12.75">
      <c r="A14" s="178"/>
      <c r="B14" s="187"/>
      <c r="C14" s="27"/>
      <c r="D14" s="27"/>
      <c r="E14" s="60"/>
      <c r="F14" s="55">
        <f t="shared" si="1"/>
      </c>
      <c r="G14" s="117">
        <f t="shared" si="2"/>
      </c>
      <c r="H14" s="83"/>
      <c r="I14" s="55"/>
      <c r="J14" s="83"/>
      <c r="K14" s="55"/>
      <c r="L14" s="83"/>
      <c r="M14" s="55"/>
      <c r="N14" s="83"/>
      <c r="O14" s="55"/>
      <c r="P14" s="83"/>
      <c r="Q14" s="55"/>
      <c r="R14" s="83"/>
      <c r="S14" s="55"/>
      <c r="T14" s="83"/>
      <c r="U14" s="55"/>
      <c r="V14" s="89"/>
    </row>
    <row r="15" spans="1:22" ht="12.75">
      <c r="A15" s="178"/>
      <c r="B15" s="187"/>
      <c r="C15" s="27"/>
      <c r="D15" s="27"/>
      <c r="E15" s="60"/>
      <c r="F15" s="55">
        <f t="shared" si="1"/>
      </c>
      <c r="G15" s="117">
        <f t="shared" si="2"/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24"/>
      <c r="S15" s="55"/>
      <c r="T15" s="24"/>
      <c r="U15" s="55"/>
      <c r="V15" s="89"/>
    </row>
    <row r="16" spans="1:22" s="51" customFormat="1" ht="12.75">
      <c r="A16" s="179"/>
      <c r="B16" s="189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0" t="str">
        <f>Definisjoner!B4</f>
        <v>Haugaland 8</v>
      </c>
      <c r="B17" s="186" t="str">
        <f>Definisjoner!C4</f>
        <v>Halvor Skare</v>
      </c>
      <c r="C17" s="26"/>
      <c r="D17" s="26"/>
      <c r="E17" s="58"/>
      <c r="F17" s="107">
        <f t="shared" si="1"/>
      </c>
      <c r="G17" s="116">
        <f t="shared" si="2"/>
      </c>
      <c r="H17" s="81"/>
      <c r="I17" s="82"/>
      <c r="J17" s="83"/>
      <c r="K17" s="55"/>
      <c r="L17" s="81"/>
      <c r="M17" s="82"/>
      <c r="N17" s="24"/>
      <c r="O17" s="55"/>
      <c r="P17" s="24"/>
      <c r="Q17" s="55"/>
      <c r="R17" s="24"/>
      <c r="S17" s="55"/>
      <c r="T17" s="24"/>
      <c r="U17" s="55"/>
      <c r="V17" s="89"/>
    </row>
    <row r="18" spans="1:22" ht="12.75">
      <c r="A18" s="178"/>
      <c r="B18" s="187"/>
      <c r="C18" s="26"/>
      <c r="D18" s="26"/>
      <c r="E18" s="58"/>
      <c r="F18" s="24">
        <f t="shared" si="1"/>
      </c>
      <c r="G18" s="117">
        <f t="shared" si="2"/>
      </c>
      <c r="H18" s="83"/>
      <c r="I18" s="55"/>
      <c r="J18" s="83"/>
      <c r="K18" s="55"/>
      <c r="L18" s="83"/>
      <c r="M18" s="55"/>
      <c r="N18" s="24"/>
      <c r="O18" s="55"/>
      <c r="P18" s="24"/>
      <c r="Q18" s="55"/>
      <c r="R18" s="24"/>
      <c r="S18" s="55"/>
      <c r="T18" s="24"/>
      <c r="U18" s="55"/>
      <c r="V18" s="89"/>
    </row>
    <row r="19" spans="1:22" ht="12.75">
      <c r="A19" s="178"/>
      <c r="B19" s="187"/>
      <c r="C19" s="27"/>
      <c r="D19" s="27"/>
      <c r="E19" s="60"/>
      <c r="F19" s="24">
        <f t="shared" si="1"/>
      </c>
      <c r="G19" s="117">
        <f t="shared" si="2"/>
      </c>
      <c r="H19" s="83"/>
      <c r="I19" s="55"/>
      <c r="J19" s="83"/>
      <c r="K19" s="55"/>
      <c r="L19" s="83"/>
      <c r="M19" s="55"/>
      <c r="N19" s="24"/>
      <c r="O19" s="55"/>
      <c r="P19" s="24"/>
      <c r="Q19" s="55"/>
      <c r="R19" s="24"/>
      <c r="S19" s="55"/>
      <c r="T19" s="24"/>
      <c r="U19" s="55"/>
      <c r="V19" s="89"/>
    </row>
    <row r="20" spans="1:22" ht="12.75">
      <c r="A20" s="178"/>
      <c r="B20" s="187"/>
      <c r="C20" s="27"/>
      <c r="D20" s="27"/>
      <c r="E20" s="60"/>
      <c r="F20" s="24">
        <f t="shared" si="1"/>
      </c>
      <c r="G20" s="117">
        <f t="shared" si="2"/>
      </c>
      <c r="H20" s="83"/>
      <c r="I20" s="55"/>
      <c r="J20" s="83"/>
      <c r="K20" s="55"/>
      <c r="L20" s="83"/>
      <c r="M20" s="55"/>
      <c r="N20" s="24"/>
      <c r="O20" s="55"/>
      <c r="P20" s="24"/>
      <c r="Q20" s="55"/>
      <c r="R20" s="24"/>
      <c r="S20" s="55"/>
      <c r="T20" s="24"/>
      <c r="U20" s="55"/>
      <c r="V20" s="89"/>
    </row>
    <row r="21" spans="1:22" ht="12.75">
      <c r="A21" s="178"/>
      <c r="B21" s="187"/>
      <c r="C21" s="27"/>
      <c r="D21" s="27"/>
      <c r="E21" s="60"/>
      <c r="F21" s="24">
        <f t="shared" si="1"/>
      </c>
      <c r="G21" s="117">
        <f t="shared" si="2"/>
      </c>
      <c r="H21" s="83"/>
      <c r="I21" s="55"/>
      <c r="J21" s="24"/>
      <c r="K21" s="55"/>
      <c r="L21" s="24"/>
      <c r="M21" s="55"/>
      <c r="N21" s="24"/>
      <c r="O21" s="55"/>
      <c r="P21" s="24"/>
      <c r="Q21" s="55"/>
      <c r="R21" s="24"/>
      <c r="S21" s="55"/>
      <c r="T21" s="24"/>
      <c r="U21" s="55"/>
      <c r="V21" s="89"/>
    </row>
    <row r="22" spans="1:22" s="51" customFormat="1" ht="12.75">
      <c r="A22" s="179"/>
      <c r="B22" s="189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78" t="str">
        <f>Definisjoner!B5</f>
        <v>Haugaland 9</v>
      </c>
      <c r="B23" s="187" t="str">
        <f>Definisjoner!C5</f>
        <v>Leif K Hausken</v>
      </c>
      <c r="C23" s="26"/>
      <c r="D23" s="26"/>
      <c r="E23" s="58"/>
      <c r="F23" s="55">
        <f t="shared" si="1"/>
      </c>
      <c r="G23" s="66">
        <f t="shared" si="2"/>
      </c>
      <c r="H23" s="83"/>
      <c r="I23" s="55"/>
      <c r="J23" s="83"/>
      <c r="K23" s="55"/>
      <c r="L23" s="81"/>
      <c r="M23" s="82"/>
      <c r="N23" s="81"/>
      <c r="O23" s="82"/>
      <c r="P23" s="81"/>
      <c r="Q23" s="82"/>
      <c r="R23" s="81"/>
      <c r="S23" s="82"/>
      <c r="T23" s="83"/>
      <c r="U23" s="55"/>
      <c r="V23" s="89"/>
    </row>
    <row r="24" spans="1:22" ht="12.75">
      <c r="A24" s="178"/>
      <c r="B24" s="187"/>
      <c r="C24" s="27"/>
      <c r="D24" s="27"/>
      <c r="E24" s="60"/>
      <c r="F24" s="55">
        <f t="shared" si="1"/>
      </c>
      <c r="G24" s="66">
        <f t="shared" si="2"/>
      </c>
      <c r="H24" s="83"/>
      <c r="I24" s="55"/>
      <c r="J24" s="83"/>
      <c r="K24" s="55"/>
      <c r="L24" s="83"/>
      <c r="M24" s="55"/>
      <c r="N24" s="83"/>
      <c r="O24" s="55"/>
      <c r="P24" s="83"/>
      <c r="Q24" s="55"/>
      <c r="R24" s="83"/>
      <c r="S24" s="55"/>
      <c r="T24" s="83"/>
      <c r="U24" s="55"/>
      <c r="V24" s="89"/>
    </row>
    <row r="25" spans="1:22" ht="12.75">
      <c r="A25" s="178"/>
      <c r="B25" s="187"/>
      <c r="C25" s="27"/>
      <c r="D25" s="27"/>
      <c r="E25" s="60"/>
      <c r="F25" s="55">
        <f t="shared" si="1"/>
      </c>
      <c r="G25" s="66">
        <f t="shared" si="2"/>
      </c>
      <c r="H25" s="83"/>
      <c r="I25" s="55"/>
      <c r="J25" s="83"/>
      <c r="K25" s="55"/>
      <c r="L25" s="83"/>
      <c r="M25" s="55"/>
      <c r="T25" s="24"/>
      <c r="U25" s="55"/>
      <c r="V25" s="89"/>
    </row>
    <row r="26" spans="1:22" ht="12.75">
      <c r="A26" s="178"/>
      <c r="B26" s="187"/>
      <c r="C26" s="26"/>
      <c r="D26" s="27"/>
      <c r="E26" s="58"/>
      <c r="F26" s="55">
        <f t="shared" si="1"/>
      </c>
      <c r="G26" s="66">
        <f t="shared" si="2"/>
      </c>
      <c r="H26" s="83"/>
      <c r="I26" s="55"/>
      <c r="J26" s="83"/>
      <c r="K26" s="55"/>
      <c r="L26" s="83"/>
      <c r="M26" s="55"/>
      <c r="N26" s="83"/>
      <c r="O26" s="55"/>
      <c r="P26" s="83"/>
      <c r="Q26" s="55"/>
      <c r="R26" s="83"/>
      <c r="S26" s="55"/>
      <c r="T26" s="24"/>
      <c r="U26" s="55"/>
      <c r="V26" s="89"/>
    </row>
    <row r="27" spans="1:22" ht="12.75">
      <c r="A27" s="178"/>
      <c r="B27" s="187"/>
      <c r="C27" s="27"/>
      <c r="D27" s="27"/>
      <c r="E27" s="60"/>
      <c r="F27" s="55">
        <f t="shared" si="1"/>
      </c>
      <c r="G27" s="66">
        <f t="shared" si="2"/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24"/>
      <c r="S27" s="55"/>
      <c r="T27" s="24"/>
      <c r="U27" s="55"/>
      <c r="V27" s="89"/>
    </row>
    <row r="28" spans="1:22" s="51" customFormat="1" ht="12.75">
      <c r="A28" s="179"/>
      <c r="B28" s="189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0" t="str">
        <f>Definisjoner!B6</f>
        <v>Haugaland 10</v>
      </c>
      <c r="B29" s="187" t="str">
        <f>Definisjoner!C6</f>
        <v>Jostein Ottesen</v>
      </c>
      <c r="C29" s="26"/>
      <c r="D29" s="26"/>
      <c r="E29" s="58"/>
      <c r="F29" s="82">
        <f t="shared" si="1"/>
      </c>
      <c r="G29" s="116">
        <f t="shared" si="2"/>
      </c>
      <c r="H29" s="83"/>
      <c r="I29" s="55"/>
      <c r="J29" s="83"/>
      <c r="K29" s="55"/>
      <c r="L29" s="83"/>
      <c r="M29" s="55"/>
      <c r="N29" s="83"/>
      <c r="O29" s="55"/>
      <c r="P29" s="83"/>
      <c r="Q29" s="55"/>
      <c r="R29" s="24"/>
      <c r="S29" s="55"/>
      <c r="T29" s="24"/>
      <c r="U29" s="55"/>
      <c r="V29" s="89"/>
    </row>
    <row r="30" spans="1:22" ht="12.75">
      <c r="A30" s="178"/>
      <c r="B30" s="187"/>
      <c r="C30" s="27"/>
      <c r="D30" s="27"/>
      <c r="E30" s="60"/>
      <c r="F30" s="55">
        <f t="shared" si="1"/>
      </c>
      <c r="G30" s="117">
        <f t="shared" si="2"/>
      </c>
      <c r="H30" s="83"/>
      <c r="I30" s="55"/>
      <c r="J30" s="83"/>
      <c r="K30" s="55"/>
      <c r="L30" s="83"/>
      <c r="M30" s="55"/>
      <c r="N30" s="83"/>
      <c r="O30" s="55"/>
      <c r="P30" s="83"/>
      <c r="Q30" s="55"/>
      <c r="R30" s="24"/>
      <c r="S30" s="55"/>
      <c r="T30" s="24"/>
      <c r="U30" s="55"/>
      <c r="V30" s="89"/>
    </row>
    <row r="31" spans="1:22" ht="12.75">
      <c r="A31" s="178"/>
      <c r="B31" s="187"/>
      <c r="C31" s="27"/>
      <c r="D31" s="27"/>
      <c r="E31" s="60"/>
      <c r="F31" s="55">
        <f t="shared" si="1"/>
      </c>
      <c r="G31" s="117">
        <f t="shared" si="2"/>
      </c>
      <c r="H31" s="83"/>
      <c r="I31" s="55"/>
      <c r="J31" s="83"/>
      <c r="K31" s="55"/>
      <c r="L31" s="83"/>
      <c r="M31" s="55"/>
      <c r="N31" s="83"/>
      <c r="O31" s="55"/>
      <c r="P31" s="83"/>
      <c r="Q31" s="55"/>
      <c r="R31" s="24"/>
      <c r="S31" s="55"/>
      <c r="T31" s="24"/>
      <c r="U31" s="55"/>
      <c r="V31" s="89"/>
    </row>
    <row r="32" spans="1:22" ht="12.75">
      <c r="A32" s="178"/>
      <c r="B32" s="187"/>
      <c r="C32" s="26"/>
      <c r="D32" s="26"/>
      <c r="E32" s="58"/>
      <c r="F32" s="55">
        <f t="shared" si="1"/>
      </c>
      <c r="G32" s="117">
        <f t="shared" si="2"/>
      </c>
      <c r="H32" s="83"/>
      <c r="I32" s="55"/>
      <c r="J32" s="83"/>
      <c r="K32" s="55"/>
      <c r="L32" s="83"/>
      <c r="M32" s="55"/>
      <c r="N32" s="83"/>
      <c r="O32" s="55"/>
      <c r="P32" s="83"/>
      <c r="Q32" s="55"/>
      <c r="V32" s="89"/>
    </row>
    <row r="33" spans="1:22" ht="12.75">
      <c r="A33" s="178"/>
      <c r="B33" s="187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79"/>
      <c r="B34" s="189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78" t="str">
        <f>Definisjoner!B7</f>
        <v>Haugaland 11</v>
      </c>
      <c r="B35" s="187" t="str">
        <f>Definisjoner!C7</f>
        <v>Jarle Heddeland</v>
      </c>
      <c r="C35" s="27"/>
      <c r="D35" s="27"/>
      <c r="E35" s="60"/>
      <c r="F35" s="55">
        <f t="shared" si="1"/>
      </c>
      <c r="G35" s="66">
        <f t="shared" si="2"/>
      </c>
      <c r="H35" s="81"/>
      <c r="I35" s="82"/>
      <c r="J35" s="81"/>
      <c r="K35" s="82"/>
      <c r="L35" s="81"/>
      <c r="M35" s="82"/>
      <c r="N35" s="81"/>
      <c r="O35" s="82"/>
      <c r="P35" s="81"/>
      <c r="Q35" s="82"/>
      <c r="R35" s="81"/>
      <c r="S35" s="82"/>
      <c r="T35" s="81"/>
      <c r="U35" s="82"/>
      <c r="V35" s="89"/>
    </row>
    <row r="36" spans="1:22" ht="12.75">
      <c r="A36" s="178"/>
      <c r="B36" s="187"/>
      <c r="C36" s="27"/>
      <c r="D36" s="27"/>
      <c r="E36" s="60"/>
      <c r="F36" s="55">
        <f t="shared" si="1"/>
      </c>
      <c r="G36" s="66">
        <f t="shared" si="2"/>
      </c>
      <c r="H36" s="83"/>
      <c r="I36" s="55"/>
      <c r="J36" s="83"/>
      <c r="K36" s="55"/>
      <c r="L36" s="83"/>
      <c r="M36" s="55"/>
      <c r="N36" s="83"/>
      <c r="O36" s="55"/>
      <c r="P36" s="83"/>
      <c r="Q36" s="55"/>
      <c r="R36" s="83"/>
      <c r="S36" s="55"/>
      <c r="T36" s="83"/>
      <c r="U36" s="55"/>
      <c r="V36" s="89"/>
    </row>
    <row r="37" spans="1:22" ht="12.75">
      <c r="A37" s="178"/>
      <c r="B37" s="187"/>
      <c r="C37" s="26"/>
      <c r="D37" s="26"/>
      <c r="E37" s="58"/>
      <c r="F37" s="55">
        <f aca="true" t="shared" si="3" ref="F37:F54">IF($E37="","",SUM(H37:V37))</f>
      </c>
      <c r="G37" s="66">
        <f aca="true" t="shared" si="4" ref="G37:G54">IF($E37="","",COUNT(H37:U37))</f>
      </c>
      <c r="H37" s="83"/>
      <c r="I37" s="55"/>
      <c r="J37" s="83"/>
      <c r="K37" s="55"/>
      <c r="L37" s="83"/>
      <c r="M37" s="55"/>
      <c r="N37" s="83"/>
      <c r="O37" s="55"/>
      <c r="P37" s="83"/>
      <c r="Q37" s="55"/>
      <c r="R37" s="83"/>
      <c r="S37" s="55"/>
      <c r="T37" s="83"/>
      <c r="U37" s="55"/>
      <c r="V37" s="89"/>
    </row>
    <row r="38" spans="1:22" ht="12.75">
      <c r="A38" s="178"/>
      <c r="B38" s="187"/>
      <c r="C38" s="26"/>
      <c r="D38" s="26"/>
      <c r="E38" s="58"/>
      <c r="F38" s="55">
        <f t="shared" si="3"/>
      </c>
      <c r="G38" s="66">
        <f t="shared" si="4"/>
      </c>
      <c r="H38" s="83"/>
      <c r="I38" s="55"/>
      <c r="J38" s="83"/>
      <c r="K38" s="55"/>
      <c r="L38" s="83"/>
      <c r="M38" s="55"/>
      <c r="N38" s="83"/>
      <c r="O38" s="55"/>
      <c r="P38" s="83"/>
      <c r="Q38" s="55"/>
      <c r="S38" s="25"/>
      <c r="T38" s="126"/>
      <c r="U38" s="25"/>
      <c r="V38" s="127"/>
    </row>
    <row r="39" spans="1:22" ht="12.75">
      <c r="A39" s="178"/>
      <c r="B39" s="187"/>
      <c r="C39" s="27"/>
      <c r="D39" s="27"/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/>
      <c r="P39" s="24"/>
      <c r="Q39" s="55"/>
      <c r="R39" s="83"/>
      <c r="S39" s="55"/>
      <c r="T39" s="83"/>
      <c r="U39" s="55"/>
      <c r="V39" s="89"/>
    </row>
    <row r="40" spans="1:22" s="51" customFormat="1" ht="12.75">
      <c r="A40" s="179"/>
      <c r="B40" s="189"/>
      <c r="C40" s="49"/>
      <c r="D40" s="49"/>
      <c r="E40" s="61"/>
      <c r="F40" s="55">
        <f t="shared" si="3"/>
      </c>
      <c r="G40" s="66">
        <f t="shared" si="4"/>
      </c>
      <c r="H40" s="50"/>
      <c r="I40" s="54"/>
      <c r="J40" s="50"/>
      <c r="K40" s="54"/>
      <c r="L40" s="50"/>
      <c r="M40" s="54"/>
      <c r="N40" s="50"/>
      <c r="O40" s="54"/>
      <c r="P40" s="50"/>
      <c r="Q40" s="54"/>
      <c r="R40" s="50"/>
      <c r="S40" s="54"/>
      <c r="T40" s="50"/>
      <c r="U40" s="54"/>
      <c r="V40" s="90"/>
    </row>
    <row r="41" spans="1:22" ht="12.75">
      <c r="A41" s="178" t="str">
        <f>Definisjoner!B8</f>
        <v>Haugaland 12</v>
      </c>
      <c r="B41" s="187" t="str">
        <f>Definisjoner!C8</f>
        <v>Elise Høyland</v>
      </c>
      <c r="C41" s="27"/>
      <c r="D41" s="27"/>
      <c r="E41" s="60"/>
      <c r="F41" s="82">
        <f t="shared" si="3"/>
      </c>
      <c r="G41" s="116">
        <f t="shared" si="4"/>
      </c>
      <c r="H41" s="83"/>
      <c r="I41" s="55"/>
      <c r="J41" s="83"/>
      <c r="K41" s="55"/>
      <c r="L41" s="24"/>
      <c r="M41" s="55"/>
      <c r="N41" s="24"/>
      <c r="O41" s="55"/>
      <c r="P41" s="24"/>
      <c r="Q41" s="55"/>
      <c r="R41" s="24"/>
      <c r="S41" s="55"/>
      <c r="T41" s="24"/>
      <c r="U41" s="55"/>
      <c r="V41" s="89"/>
    </row>
    <row r="42" spans="1:22" ht="12.75">
      <c r="A42" s="178"/>
      <c r="B42" s="187"/>
      <c r="C42" s="26"/>
      <c r="D42" s="26"/>
      <c r="E42" s="58"/>
      <c r="F42" s="55">
        <f t="shared" si="3"/>
      </c>
      <c r="G42" s="117">
        <f t="shared" si="4"/>
      </c>
      <c r="H42" s="83"/>
      <c r="I42" s="55"/>
      <c r="J42" s="83"/>
      <c r="K42" s="55"/>
      <c r="L42" s="24"/>
      <c r="M42" s="55"/>
      <c r="N42" s="24"/>
      <c r="O42" s="55"/>
      <c r="P42" s="24"/>
      <c r="Q42" s="55"/>
      <c r="R42" s="24"/>
      <c r="S42" s="55"/>
      <c r="T42" s="24"/>
      <c r="U42" s="55"/>
      <c r="V42" s="89"/>
    </row>
    <row r="43" spans="1:22" ht="12.75">
      <c r="A43" s="178"/>
      <c r="B43" s="187"/>
      <c r="C43" s="26"/>
      <c r="D43" s="26"/>
      <c r="E43" s="58"/>
      <c r="F43" s="55">
        <f t="shared" si="3"/>
      </c>
      <c r="G43" s="117">
        <f t="shared" si="4"/>
      </c>
      <c r="H43" s="83"/>
      <c r="I43" s="55"/>
      <c r="J43" s="83"/>
      <c r="K43" s="55"/>
      <c r="L43" s="83"/>
      <c r="M43" s="55"/>
      <c r="N43" s="24"/>
      <c r="O43" s="55"/>
      <c r="P43" s="24"/>
      <c r="Q43" s="55"/>
      <c r="R43" s="24"/>
      <c r="S43" s="55"/>
      <c r="T43" s="24"/>
      <c r="U43" s="55"/>
      <c r="V43" s="89"/>
    </row>
    <row r="44" spans="1:22" ht="12.75">
      <c r="A44" s="178"/>
      <c r="B44" s="187"/>
      <c r="C44" s="27"/>
      <c r="D44" s="27"/>
      <c r="E44" s="60"/>
      <c r="F44" s="55">
        <f t="shared" si="3"/>
      </c>
      <c r="G44" s="117">
        <f t="shared" si="4"/>
      </c>
      <c r="H44" s="83"/>
      <c r="I44" s="55"/>
      <c r="J44" s="83"/>
      <c r="K44" s="55"/>
      <c r="L44" s="83"/>
      <c r="M44" s="55"/>
      <c r="N44" s="24"/>
      <c r="O44" s="55"/>
      <c r="P44" s="24"/>
      <c r="Q44" s="55"/>
      <c r="R44" s="24"/>
      <c r="S44" s="55"/>
      <c r="T44" s="24"/>
      <c r="U44" s="55"/>
      <c r="V44" s="89"/>
    </row>
    <row r="45" spans="1:22" ht="12.75">
      <c r="A45" s="178"/>
      <c r="B45" s="187"/>
      <c r="C45" s="27"/>
      <c r="D45" s="27"/>
      <c r="E45" s="60"/>
      <c r="F45" s="55">
        <f t="shared" si="3"/>
      </c>
      <c r="G45" s="117">
        <f t="shared" si="4"/>
      </c>
      <c r="H45" s="83"/>
      <c r="I45" s="55"/>
      <c r="J45" s="24"/>
      <c r="K45" s="55"/>
      <c r="L45" s="24"/>
      <c r="M45" s="55"/>
      <c r="N45" s="24"/>
      <c r="O45" s="55"/>
      <c r="P45" s="24"/>
      <c r="Q45" s="55"/>
      <c r="R45" s="24"/>
      <c r="S45" s="55"/>
      <c r="T45" s="24"/>
      <c r="U45" s="55"/>
      <c r="V45" s="89"/>
    </row>
    <row r="46" spans="1:22" s="51" customFormat="1" ht="12.75">
      <c r="A46" s="179"/>
      <c r="B46" s="189"/>
      <c r="C46" s="49"/>
      <c r="D46" s="49"/>
      <c r="E46" s="61"/>
      <c r="F46" s="54">
        <f t="shared" si="3"/>
      </c>
      <c r="G46" s="67">
        <f t="shared" si="4"/>
      </c>
      <c r="H46" s="83"/>
      <c r="I46" s="55"/>
      <c r="J46" s="50"/>
      <c r="K46" s="54"/>
      <c r="L46" s="50"/>
      <c r="M46" s="54"/>
      <c r="N46" s="50"/>
      <c r="O46" s="54"/>
      <c r="P46" s="50"/>
      <c r="Q46" s="54"/>
      <c r="R46" s="50"/>
      <c r="S46" s="54"/>
      <c r="T46" s="50"/>
      <c r="U46" s="54"/>
      <c r="V46" s="90"/>
    </row>
    <row r="47" spans="1:22" ht="12.75">
      <c r="A47" s="180" t="str">
        <f>Definisjoner!B9</f>
        <v>Walk Over</v>
      </c>
      <c r="B47" s="186" t="str">
        <f>Definisjoner!C9</f>
        <v>WO</v>
      </c>
      <c r="C47" s="105"/>
      <c r="D47" s="105"/>
      <c r="E47" s="106"/>
      <c r="F47" s="24">
        <f t="shared" si="3"/>
      </c>
      <c r="G47" s="116">
        <f t="shared" si="4"/>
      </c>
      <c r="H47" s="81"/>
      <c r="I47" s="82"/>
      <c r="J47" s="107"/>
      <c r="K47" s="82"/>
      <c r="L47" s="81"/>
      <c r="M47" s="82"/>
      <c r="N47" s="107"/>
      <c r="O47" s="82"/>
      <c r="P47" s="107"/>
      <c r="Q47" s="82"/>
      <c r="R47" s="81"/>
      <c r="S47" s="82"/>
      <c r="T47" s="81"/>
      <c r="U47" s="82"/>
      <c r="V47" s="108"/>
    </row>
    <row r="48" spans="1:22" ht="12.75">
      <c r="A48" s="178"/>
      <c r="B48" s="187"/>
      <c r="C48" s="26"/>
      <c r="D48" s="26"/>
      <c r="E48" s="58"/>
      <c r="F48" s="24">
        <f t="shared" si="3"/>
      </c>
      <c r="G48" s="117">
        <f t="shared" si="4"/>
      </c>
      <c r="H48" s="83"/>
      <c r="I48" s="55"/>
      <c r="J48" s="24"/>
      <c r="K48" s="55"/>
      <c r="L48" s="83"/>
      <c r="M48" s="55"/>
      <c r="N48" s="24"/>
      <c r="O48" s="55"/>
      <c r="P48" s="24"/>
      <c r="Q48" s="55"/>
      <c r="R48" s="83"/>
      <c r="S48" s="55"/>
      <c r="T48" s="83"/>
      <c r="U48" s="55"/>
      <c r="V48" s="89"/>
    </row>
    <row r="49" spans="1:22" ht="12.75">
      <c r="A49" s="178"/>
      <c r="B49" s="187"/>
      <c r="C49" s="27"/>
      <c r="D49" s="27"/>
      <c r="E49" s="60"/>
      <c r="F49" s="24">
        <f t="shared" si="3"/>
      </c>
      <c r="G49" s="117">
        <f t="shared" si="4"/>
      </c>
      <c r="H49" s="83"/>
      <c r="I49" s="55"/>
      <c r="J49" s="83"/>
      <c r="K49" s="55"/>
      <c r="L49" s="24"/>
      <c r="M49" s="55"/>
      <c r="N49" s="24"/>
      <c r="O49" s="55"/>
      <c r="P49" s="24"/>
      <c r="Q49" s="55"/>
      <c r="R49" s="24"/>
      <c r="S49" s="55"/>
      <c r="T49" s="24"/>
      <c r="U49" s="55"/>
      <c r="V49" s="89"/>
    </row>
    <row r="50" spans="1:22" ht="12.75">
      <c r="A50" s="178"/>
      <c r="B50" s="187"/>
      <c r="C50" s="27"/>
      <c r="D50" s="27"/>
      <c r="E50" s="60"/>
      <c r="F50" s="24">
        <f t="shared" si="3"/>
      </c>
      <c r="G50" s="117">
        <f t="shared" si="4"/>
      </c>
      <c r="H50" s="83"/>
      <c r="I50" s="55"/>
      <c r="J50" s="83"/>
      <c r="K50" s="55"/>
      <c r="L50" s="24"/>
      <c r="M50" s="55"/>
      <c r="N50" s="24"/>
      <c r="O50" s="55"/>
      <c r="P50" s="24"/>
      <c r="Q50" s="55"/>
      <c r="R50" s="24"/>
      <c r="S50" s="55"/>
      <c r="T50" s="24"/>
      <c r="U50" s="55"/>
      <c r="V50" s="89"/>
    </row>
    <row r="51" spans="1:22" ht="12.75">
      <c r="A51" s="178"/>
      <c r="B51" s="187"/>
      <c r="C51" s="118"/>
      <c r="D51" s="118"/>
      <c r="E51" s="60"/>
      <c r="F51" s="24">
        <f t="shared" si="3"/>
      </c>
      <c r="G51" s="117">
        <f t="shared" si="4"/>
      </c>
      <c r="H51" s="83"/>
      <c r="I51" s="55"/>
      <c r="J51" s="24"/>
      <c r="K51" s="55"/>
      <c r="L51" s="24"/>
      <c r="M51" s="55"/>
      <c r="N51" s="24"/>
      <c r="O51" s="55"/>
      <c r="P51" s="24"/>
      <c r="Q51" s="55"/>
      <c r="R51" s="24"/>
      <c r="S51" s="55"/>
      <c r="T51" s="24"/>
      <c r="U51" s="55"/>
      <c r="V51" s="89"/>
    </row>
    <row r="52" spans="1:22" s="51" customFormat="1" ht="13.5" thickBot="1">
      <c r="A52" s="181"/>
      <c r="B52" s="188"/>
      <c r="C52" s="91"/>
      <c r="D52" s="92"/>
      <c r="E52" s="161"/>
      <c r="F52" s="94">
        <f t="shared" si="3"/>
      </c>
      <c r="G52" s="162">
        <f t="shared" si="4"/>
      </c>
      <c r="H52" s="160"/>
      <c r="I52" s="93"/>
      <c r="J52" s="94"/>
      <c r="K52" s="93"/>
      <c r="L52" s="94"/>
      <c r="M52" s="93"/>
      <c r="N52" s="94"/>
      <c r="O52" s="93"/>
      <c r="P52" s="94"/>
      <c r="Q52" s="93"/>
      <c r="R52" s="94"/>
      <c r="S52" s="93"/>
      <c r="T52" s="94"/>
      <c r="U52" s="93"/>
      <c r="V52" s="95"/>
    </row>
    <row r="53" spans="1:22" ht="12.75">
      <c r="A53" s="32"/>
      <c r="B53" s="32"/>
      <c r="C53" s="26"/>
      <c r="D53" s="26"/>
      <c r="E53" s="58"/>
      <c r="F53" s="55">
        <f t="shared" si="3"/>
      </c>
      <c r="G53" s="66">
        <f t="shared" si="4"/>
      </c>
      <c r="H53" s="28"/>
      <c r="I53" s="56"/>
      <c r="J53" s="28"/>
      <c r="K53" s="56"/>
      <c r="L53" s="28"/>
      <c r="M53" s="56"/>
      <c r="N53" s="28"/>
      <c r="O53" s="56"/>
      <c r="P53" s="28"/>
      <c r="Q53" s="56"/>
      <c r="R53" s="28"/>
      <c r="S53" s="56"/>
      <c r="T53" s="28"/>
      <c r="U53" s="56"/>
      <c r="V53" s="70"/>
    </row>
    <row r="54" spans="1:22" ht="12.75">
      <c r="A54" s="32"/>
      <c r="B54" s="32"/>
      <c r="C54" s="26"/>
      <c r="D54" s="26"/>
      <c r="E54" s="58"/>
      <c r="F54" s="55">
        <f t="shared" si="3"/>
      </c>
      <c r="G54" s="66">
        <f t="shared" si="4"/>
      </c>
      <c r="H54" s="28"/>
      <c r="I54" s="57"/>
      <c r="J54" s="28"/>
      <c r="K54" s="56"/>
      <c r="L54" s="28"/>
      <c r="M54" s="56"/>
      <c r="N54" s="28"/>
      <c r="O54" s="56"/>
      <c r="P54" s="28"/>
      <c r="Q54" s="56"/>
      <c r="R54" s="28"/>
      <c r="S54" s="57"/>
      <c r="T54" s="28"/>
      <c r="U54" s="56"/>
      <c r="V54" s="70"/>
    </row>
    <row r="55" spans="1:22" ht="12.75">
      <c r="A55" s="32"/>
      <c r="B55" s="32"/>
      <c r="C55" s="26"/>
      <c r="D55" s="26"/>
      <c r="E55" s="58"/>
      <c r="F55" s="55">
        <f aca="true" t="shared" si="5" ref="F55:F76">IF(E55="","",SUM(H55:U55))</f>
      </c>
      <c r="G55" s="64"/>
      <c r="H55" s="28"/>
      <c r="I55" s="56"/>
      <c r="J55" s="28"/>
      <c r="K55" s="56"/>
      <c r="L55" s="28"/>
      <c r="M55" s="56"/>
      <c r="N55" s="28"/>
      <c r="O55" s="56"/>
      <c r="P55" s="28"/>
      <c r="Q55" s="56"/>
      <c r="R55" s="28"/>
      <c r="S55" s="56"/>
      <c r="T55" s="28"/>
      <c r="U55" s="56"/>
      <c r="V55" s="70"/>
    </row>
    <row r="56" spans="1:22" ht="12.75">
      <c r="A56" s="32"/>
      <c r="B56" s="32"/>
      <c r="C56" s="26"/>
      <c r="D56" s="26"/>
      <c r="E56" s="58"/>
      <c r="F56" s="55">
        <f t="shared" si="5"/>
      </c>
      <c r="G56" s="64"/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5"/>
      </c>
      <c r="G57" s="64"/>
      <c r="H57" s="28"/>
      <c r="I57" s="56"/>
      <c r="J57" s="28"/>
      <c r="K57" s="56"/>
      <c r="L57" s="28"/>
      <c r="M57" s="56"/>
      <c r="N57" s="28"/>
      <c r="O57" s="56"/>
      <c r="P57" s="28"/>
      <c r="Q57" s="56"/>
      <c r="R57" s="28"/>
      <c r="S57" s="56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t="shared" si="5"/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3:22" ht="12.75"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3:22" ht="12.75"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3:22" ht="12.75"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/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/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/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1" ht="12.75">
      <c r="C96" s="26"/>
      <c r="D96" s="26"/>
      <c r="E96" s="58"/>
      <c r="F96" s="53"/>
      <c r="G96" s="64"/>
      <c r="H96" s="29"/>
      <c r="I96" s="57"/>
      <c r="J96" s="29"/>
      <c r="K96" s="57"/>
      <c r="L96" s="29"/>
      <c r="M96" s="57"/>
      <c r="N96" s="29"/>
      <c r="O96" s="57"/>
      <c r="P96" s="29"/>
      <c r="Q96" s="57"/>
      <c r="R96" s="29"/>
      <c r="S96" s="57"/>
      <c r="T96" s="29"/>
      <c r="U96" s="57"/>
    </row>
    <row r="97" spans="3:21" ht="12.75">
      <c r="C97" s="26"/>
      <c r="D97" s="26"/>
      <c r="E97" s="58"/>
      <c r="F97" s="53"/>
      <c r="G97" s="64"/>
      <c r="H97" s="29"/>
      <c r="I97" s="57"/>
      <c r="J97" s="29"/>
      <c r="K97" s="57"/>
      <c r="L97" s="29"/>
      <c r="M97" s="57"/>
      <c r="N97" s="29"/>
      <c r="O97" s="57"/>
      <c r="P97" s="29"/>
      <c r="Q97" s="57"/>
      <c r="R97" s="29"/>
      <c r="S97" s="57"/>
      <c r="T97" s="29"/>
      <c r="U97" s="57"/>
    </row>
    <row r="98" spans="3:21" ht="12.75">
      <c r="C98" s="26"/>
      <c r="D98" s="26"/>
      <c r="E98" s="58"/>
      <c r="F98" s="53"/>
      <c r="G98" s="64"/>
      <c r="H98" s="29"/>
      <c r="I98" s="57"/>
      <c r="J98" s="29"/>
      <c r="K98" s="57"/>
      <c r="L98" s="29"/>
      <c r="M98" s="57"/>
      <c r="N98" s="29"/>
      <c r="O98" s="57"/>
      <c r="P98" s="29"/>
      <c r="Q98" s="57"/>
      <c r="R98" s="29"/>
      <c r="S98" s="57"/>
      <c r="T98" s="29"/>
      <c r="U98" s="57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6:21" ht="12.75">
      <c r="F166" s="53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6:21" ht="12.75">
      <c r="F167" s="53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6:21" ht="12.75">
      <c r="F168" s="53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</sheetData>
  <sheetProtection/>
  <mergeCells count="24">
    <mergeCell ref="B47:B52"/>
    <mergeCell ref="T2:U2"/>
    <mergeCell ref="B23:B28"/>
    <mergeCell ref="B29:B34"/>
    <mergeCell ref="B35:B40"/>
    <mergeCell ref="B41:B46"/>
    <mergeCell ref="N2:O2"/>
    <mergeCell ref="B5:B10"/>
    <mergeCell ref="B11:B16"/>
    <mergeCell ref="B17:B22"/>
    <mergeCell ref="A5:A10"/>
    <mergeCell ref="H2:I2"/>
    <mergeCell ref="J2:K2"/>
    <mergeCell ref="L2:M2"/>
    <mergeCell ref="A1:V1"/>
    <mergeCell ref="A35:A40"/>
    <mergeCell ref="P2:Q2"/>
    <mergeCell ref="R2:S2"/>
    <mergeCell ref="A41:A46"/>
    <mergeCell ref="A47:A52"/>
    <mergeCell ref="A11:A16"/>
    <mergeCell ref="A17:A22"/>
    <mergeCell ref="A23:A28"/>
    <mergeCell ref="A29:A34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5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9" t="s">
        <v>46</v>
      </c>
      <c r="B1" s="129"/>
      <c r="D1" s="129" t="s">
        <v>51</v>
      </c>
    </row>
    <row r="3" spans="1:4" ht="15">
      <c r="A3" s="5" t="s">
        <v>47</v>
      </c>
      <c r="D3" s="5" t="s">
        <v>47</v>
      </c>
    </row>
    <row r="4" spans="1:5" ht="15">
      <c r="A4" s="5" t="s">
        <v>48</v>
      </c>
      <c r="B4" s="190" t="s">
        <v>13</v>
      </c>
      <c r="D4" s="5" t="s">
        <v>48</v>
      </c>
      <c r="E4" s="190" t="s">
        <v>17</v>
      </c>
    </row>
    <row r="5" spans="1:5" ht="15">
      <c r="A5" s="5" t="s">
        <v>50</v>
      </c>
      <c r="B5" s="190"/>
      <c r="D5" s="5" t="s">
        <v>50</v>
      </c>
      <c r="E5" s="190"/>
    </row>
    <row r="7" spans="1:5" ht="15">
      <c r="A7" s="5" t="s">
        <v>54</v>
      </c>
      <c r="B7" s="190" t="s">
        <v>14</v>
      </c>
      <c r="D7" s="5" t="s">
        <v>54</v>
      </c>
      <c r="E7" s="190" t="s">
        <v>18</v>
      </c>
    </row>
    <row r="8" spans="1:5" ht="15">
      <c r="A8" s="5" t="s">
        <v>55</v>
      </c>
      <c r="B8" s="190"/>
      <c r="D8" s="5" t="s">
        <v>55</v>
      </c>
      <c r="E8" s="190"/>
    </row>
    <row r="10" spans="1:4" ht="15">
      <c r="A10" s="5" t="s">
        <v>49</v>
      </c>
      <c r="D10" s="5" t="s">
        <v>49</v>
      </c>
    </row>
    <row r="11" spans="1:5" ht="15">
      <c r="A11" s="5" t="s">
        <v>48</v>
      </c>
      <c r="B11" s="190" t="s">
        <v>15</v>
      </c>
      <c r="D11" s="5" t="s">
        <v>48</v>
      </c>
      <c r="E11" s="190" t="s">
        <v>19</v>
      </c>
    </row>
    <row r="12" spans="1:5" ht="15">
      <c r="A12" s="5" t="s">
        <v>50</v>
      </c>
      <c r="B12" s="190"/>
      <c r="D12" s="5" t="s">
        <v>50</v>
      </c>
      <c r="E12" s="190"/>
    </row>
    <row r="14" spans="1:5" ht="15">
      <c r="A14" s="5" t="s">
        <v>54</v>
      </c>
      <c r="B14" s="190" t="s">
        <v>16</v>
      </c>
      <c r="D14" s="5" t="s">
        <v>52</v>
      </c>
      <c r="E14" s="5" t="s">
        <v>53</v>
      </c>
    </row>
    <row r="15" spans="1:2" ht="15">
      <c r="A15" s="5" t="s">
        <v>55</v>
      </c>
      <c r="B15" s="190"/>
    </row>
  </sheetData>
  <sheetProtection/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selection activeCell="C10" sqref="C10"/>
    </sheetView>
  </sheetViews>
  <sheetFormatPr defaultColWidth="10.66015625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8" customFormat="1" ht="12.75">
      <c r="A1" s="128" t="s">
        <v>1</v>
      </c>
      <c r="B1" s="128" t="s">
        <v>22</v>
      </c>
      <c r="C1" s="128" t="s">
        <v>39</v>
      </c>
      <c r="D1" s="196" t="str">
        <f>C17</f>
        <v>Kamp 1</v>
      </c>
      <c r="E1" s="196"/>
      <c r="F1" s="196"/>
      <c r="G1" s="196" t="str">
        <f>C18</f>
        <v>Kamp 2</v>
      </c>
      <c r="H1" s="196"/>
      <c r="I1" s="196"/>
      <c r="J1" s="196" t="str">
        <f>C19</f>
        <v>Kamp 3</v>
      </c>
      <c r="K1" s="196"/>
      <c r="L1" s="196"/>
      <c r="M1" s="196" t="str">
        <f>C20</f>
        <v>Kamp 4</v>
      </c>
      <c r="N1" s="196"/>
      <c r="O1" s="196"/>
      <c r="P1" s="196" t="str">
        <f>C21</f>
        <v>Kamp 5</v>
      </c>
      <c r="Q1" s="196"/>
      <c r="R1" s="196"/>
      <c r="S1" s="196" t="str">
        <f>C22</f>
        <v>Kamp 6</v>
      </c>
      <c r="T1" s="196"/>
      <c r="U1" s="196"/>
      <c r="V1" s="196" t="str">
        <f>C23</f>
        <v>Kamp 7</v>
      </c>
      <c r="W1" s="196"/>
      <c r="X1" s="196"/>
      <c r="Y1" s="196"/>
      <c r="Z1" s="196"/>
      <c r="AA1" s="196"/>
      <c r="AB1" s="196"/>
      <c r="AC1" s="196"/>
      <c r="AD1" s="196"/>
      <c r="AE1" s="130"/>
      <c r="AF1" s="130"/>
      <c r="AG1" s="130"/>
    </row>
    <row r="2" spans="1:33" ht="12.75">
      <c r="A2" s="128">
        <v>1</v>
      </c>
      <c r="B2" t="s">
        <v>57</v>
      </c>
      <c r="C2" t="s">
        <v>58</v>
      </c>
      <c r="D2" s="33">
        <f aca="true" t="shared" si="0" ref="D2:D8">INDEX(Kamp1,HLOOKUP($A2,KampTab1,ROWS(KampTab1)-1,FALSE),C_V+HLOOKUP($A2,KampTab1,ROWS(KampTab1),FALSE))</f>
        <v>17</v>
      </c>
      <c r="E2" s="33">
        <f aca="true" t="shared" si="1" ref="E2:E8">INDEX(Kamp1,HLOOKUP($A2,KampTab1,ROWS(KampTab1)-1,FALSE),C_I+HLOOKUP($A2,KampTab1,ROWS(KampTab1),FALSE))</f>
        <v>0</v>
      </c>
      <c r="F2" s="33">
        <f aca="true" t="shared" si="2" ref="F2:F8">INDEX(Kamp1,HLOOKUP($A2,KampTab1,ROWS(KampTab1)-1,FALSE),C_I-HLOOKUP($A2,KampTab1,ROWS(KampTab1),FALSE))</f>
        <v>0</v>
      </c>
      <c r="G2" s="33">
        <f aca="true" t="shared" si="3" ref="G2:G8">INDEX(Kamp2,HLOOKUP($A2,KampTab2,ROWS(KampTab2)-1,FALSE),C_V+HLOOKUP($A2,KampTab2,ROWS(KampTab2),FALSE))</f>
        <v>12</v>
      </c>
      <c r="H2" s="33">
        <f aca="true" t="shared" si="4" ref="H2:H8">INDEX(Kamp2,HLOOKUP($A2,KampTab2,ROWS(KampTab2)-1,FALSE),C_I+HLOOKUP($A2,KampTab2,ROWS(KampTab2),FALSE))</f>
        <v>51</v>
      </c>
      <c r="I2" s="33">
        <f aca="true" t="shared" si="5" ref="I2:I8">INDEX(Kamp2,HLOOKUP($A2,KampTab2,ROWS(KampTab2)-1,FALSE),C_I-HLOOKUP($A2,KampTab2,ROWS(KampTab2),FALSE))</f>
        <v>67</v>
      </c>
      <c r="J2" s="33">
        <f aca="true" t="shared" si="6" ref="J2:J8">INDEX(Kamp3,HLOOKUP($A2,KampTab3,ROWS(KampTab3)-1,FALSE),C_V+HLOOKUP($A2,KampTab3,ROWS(KampTab3),FALSE))</f>
        <v>21</v>
      </c>
      <c r="K2" s="33">
        <f aca="true" t="shared" si="7" ref="K2:K8">INDEX(Kamp3,HLOOKUP($A2,KampTab3,ROWS(KampTab3)-1,FALSE),C_I+HLOOKUP($A2,KampTab3,ROWS(KampTab3),FALSE))</f>
        <v>57</v>
      </c>
      <c r="L2" s="33">
        <f aca="true" t="shared" si="8" ref="L2:L8">INDEX(Kamp3,HLOOKUP($A2,KampTab3,ROWS(KampTab3)-1,FALSE),C_I-HLOOKUP($A2,KampTab3,ROWS(KampTab3),FALSE))</f>
        <v>27</v>
      </c>
      <c r="M2" s="33">
        <f aca="true" t="shared" si="9" ref="M2:M8">INDEX(Kamp4,HLOOKUP($A2,KampTab4,ROWS(KampTab4)-1,FALSE),C_V+HLOOKUP($A2,KampTab4,ROWS(KampTab4),FALSE))</f>
        <v>23</v>
      </c>
      <c r="N2" s="33">
        <f aca="true" t="shared" si="10" ref="N2:N8">INDEX(Kamp4,HLOOKUP($A2,KampTab4,ROWS(KampTab4)-1,FALSE),C_I+HLOOKUP($A2,KampTab4,ROWS(KampTab4),FALSE))</f>
        <v>81</v>
      </c>
      <c r="O2" s="33">
        <f aca="true" t="shared" si="11" ref="O2:O8">INDEX(Kamp4,HLOOKUP($A2,KampTab4,ROWS(KampTab4)-1,FALSE),C_I-HLOOKUP($A2,KampTab4,ROWS(KampTab4),FALSE))</f>
        <v>41</v>
      </c>
      <c r="P2" s="33">
        <f aca="true" t="shared" si="12" ref="P2:P8">INDEX(Kamp5,HLOOKUP($A2,KampTab5,ROWS(KampTab5)-1,FALSE),C_V+HLOOKUP($A2,KampTab5,ROWS(KampTab5),FALSE))</f>
        <v>15</v>
      </c>
      <c r="Q2" s="33">
        <f aca="true" t="shared" si="13" ref="Q2:Q8">INDEX(Kamp5,HLOOKUP($A2,KampTab5,ROWS(KampTab5)-1,FALSE),6+HLOOKUP($A2,KampTab5,ROWS(KampTab5),FALSE))</f>
        <v>48</v>
      </c>
      <c r="R2" s="33">
        <f aca="true" t="shared" si="14" ref="R2:R8">INDEX(Kamp5,HLOOKUP($A2,KampTab5,ROWS(KampTab5)-1,FALSE),C_I-HLOOKUP($A2,KampTab5,ROWS(KampTab5),FALSE))</f>
        <v>48</v>
      </c>
      <c r="S2" s="33">
        <f aca="true" t="shared" si="15" ref="S2:S8">INDEX(Kamp6,HLOOKUP($A2,KampTab6,ROWS(KampTab6)-1,FALSE),C_V+HLOOKUP($A2,KampTab6,ROWS(KampTab6),FALSE))</f>
        <v>0</v>
      </c>
      <c r="T2" s="33">
        <f aca="true" t="shared" si="16" ref="T2:T8">INDEX(Kamp6,HLOOKUP($A2,KampTab6,ROWS(KampTab6)-1,FALSE),C_I+HLOOKUP($A2,KampTab6,ROWS(KampTab6),FALSE))</f>
        <v>0</v>
      </c>
      <c r="U2" s="33">
        <f aca="true" t="shared" si="17" ref="U2:U8">INDEX(Kamp6,HLOOKUP($A2,KampTab6,ROWS(KampTab6)-1,FALSE),C_I-HLOOKUP($A2,KampTab6,ROWS(KampTab6),FALSE))</f>
        <v>0</v>
      </c>
      <c r="V2" s="33">
        <f aca="true" t="shared" si="18" ref="V2:V8">INDEX(Kamp7,HLOOKUP($A2,KampTab7,ROWS(KampTab7)-1,FALSE),C_V+HLOOKUP($A2,KampTab7,ROWS(KampTab7),FALSE))</f>
        <v>0</v>
      </c>
      <c r="W2" s="33">
        <f aca="true" t="shared" si="19" ref="W2:W8">INDEX(Kamp7,HLOOKUP($A2,KampTab7,ROWS(KampTab7)-1,FALSE),C_I+HLOOKUP($A2,KampTab7,ROWS(KampTab7),FALSE))</f>
        <v>0</v>
      </c>
      <c r="X2" s="33">
        <f aca="true" t="shared" si="20" ref="X2:X8">INDEX(Kamp7,HLOOKUP($A2,KampTab7,ROWS(KampTab7)-1,FALSE),C_I-HLOOKUP($A2,KampTab7,ROWS(KampTab7),FALSE))</f>
        <v>0</v>
      </c>
      <c r="AE2" s="71"/>
      <c r="AF2" s="71"/>
      <c r="AG2" s="71"/>
    </row>
    <row r="3" spans="1:33" ht="12.75">
      <c r="A3" s="128">
        <v>2</v>
      </c>
      <c r="B3" t="s">
        <v>59</v>
      </c>
      <c r="C3" s="71" t="s">
        <v>66</v>
      </c>
      <c r="D3" s="33">
        <f t="shared" si="0"/>
        <v>24</v>
      </c>
      <c r="E3" s="33">
        <f t="shared" si="1"/>
        <v>86</v>
      </c>
      <c r="F3" s="33">
        <f t="shared" si="2"/>
        <v>36</v>
      </c>
      <c r="G3" s="33">
        <f t="shared" si="3"/>
        <v>18</v>
      </c>
      <c r="H3" s="33">
        <f t="shared" si="4"/>
        <v>67</v>
      </c>
      <c r="I3" s="33">
        <f t="shared" si="5"/>
        <v>51</v>
      </c>
      <c r="J3" s="33">
        <f t="shared" si="6"/>
        <v>17</v>
      </c>
      <c r="K3" s="33">
        <f t="shared" si="7"/>
        <v>0</v>
      </c>
      <c r="L3" s="33">
        <f t="shared" si="8"/>
        <v>0</v>
      </c>
      <c r="M3" s="33">
        <f t="shared" si="9"/>
        <v>23</v>
      </c>
      <c r="N3" s="33">
        <f t="shared" si="10"/>
        <v>86</v>
      </c>
      <c r="O3" s="33">
        <f t="shared" si="11"/>
        <v>46</v>
      </c>
      <c r="P3" s="33">
        <f t="shared" si="12"/>
        <v>23</v>
      </c>
      <c r="Q3" s="33">
        <f t="shared" si="13"/>
        <v>72</v>
      </c>
      <c r="R3" s="33">
        <f t="shared" si="14"/>
        <v>30</v>
      </c>
      <c r="S3" s="33">
        <f t="shared" si="15"/>
        <v>0</v>
      </c>
      <c r="T3" s="33">
        <f t="shared" si="16"/>
        <v>0</v>
      </c>
      <c r="U3" s="33">
        <f t="shared" si="17"/>
        <v>0</v>
      </c>
      <c r="V3" s="33">
        <f t="shared" si="18"/>
        <v>0</v>
      </c>
      <c r="W3" s="33">
        <f t="shared" si="19"/>
        <v>0</v>
      </c>
      <c r="X3" s="33">
        <f t="shared" si="20"/>
        <v>0</v>
      </c>
      <c r="AE3" s="71"/>
      <c r="AF3" s="71"/>
      <c r="AG3" s="71"/>
    </row>
    <row r="4" spans="1:33" ht="12.75">
      <c r="A4" s="128">
        <v>3</v>
      </c>
      <c r="B4" t="s">
        <v>61</v>
      </c>
      <c r="C4" s="71" t="s">
        <v>67</v>
      </c>
      <c r="D4" s="33">
        <f t="shared" si="0"/>
        <v>17</v>
      </c>
      <c r="E4" s="33">
        <f t="shared" si="1"/>
        <v>53</v>
      </c>
      <c r="F4" s="33">
        <f t="shared" si="2"/>
        <v>42</v>
      </c>
      <c r="G4" s="33">
        <f t="shared" si="3"/>
        <v>12</v>
      </c>
      <c r="H4" s="33">
        <f t="shared" si="4"/>
        <v>44</v>
      </c>
      <c r="I4" s="33">
        <f t="shared" si="5"/>
        <v>62</v>
      </c>
      <c r="J4" s="33">
        <f t="shared" si="6"/>
        <v>9</v>
      </c>
      <c r="K4" s="33">
        <f t="shared" si="7"/>
        <v>27</v>
      </c>
      <c r="L4" s="33">
        <f t="shared" si="8"/>
        <v>57</v>
      </c>
      <c r="M4" s="33">
        <f t="shared" si="9"/>
        <v>7</v>
      </c>
      <c r="N4" s="33">
        <f t="shared" si="10"/>
        <v>46</v>
      </c>
      <c r="O4" s="33">
        <f t="shared" si="11"/>
        <v>86</v>
      </c>
      <c r="P4" s="33">
        <f t="shared" si="12"/>
        <v>17</v>
      </c>
      <c r="Q4" s="33">
        <f t="shared" si="13"/>
        <v>0</v>
      </c>
      <c r="R4" s="33">
        <f t="shared" si="14"/>
        <v>0</v>
      </c>
      <c r="S4" s="33">
        <f t="shared" si="15"/>
        <v>0</v>
      </c>
      <c r="T4" s="33">
        <f t="shared" si="16"/>
        <v>0</v>
      </c>
      <c r="U4" s="33">
        <f t="shared" si="17"/>
        <v>0</v>
      </c>
      <c r="V4" s="33">
        <f t="shared" si="18"/>
        <v>0</v>
      </c>
      <c r="W4" s="33">
        <f t="shared" si="19"/>
        <v>0</v>
      </c>
      <c r="X4" s="33">
        <f t="shared" si="20"/>
        <v>0</v>
      </c>
      <c r="AE4" s="71"/>
      <c r="AF4" s="71"/>
      <c r="AG4" s="71"/>
    </row>
    <row r="5" spans="1:33" ht="12.75">
      <c r="A5" s="128">
        <v>4</v>
      </c>
      <c r="B5" t="s">
        <v>62</v>
      </c>
      <c r="C5" s="71" t="s">
        <v>68</v>
      </c>
      <c r="D5" s="33">
        <f t="shared" si="0"/>
        <v>10</v>
      </c>
      <c r="E5" s="33">
        <f t="shared" si="1"/>
        <v>37</v>
      </c>
      <c r="F5" s="33">
        <f t="shared" si="2"/>
        <v>66</v>
      </c>
      <c r="G5" s="33">
        <f t="shared" si="3"/>
        <v>15</v>
      </c>
      <c r="H5" s="33">
        <f t="shared" si="4"/>
        <v>56</v>
      </c>
      <c r="I5" s="33">
        <f t="shared" si="5"/>
        <v>59</v>
      </c>
      <c r="J5" s="33">
        <f t="shared" si="6"/>
        <v>24</v>
      </c>
      <c r="K5" s="33">
        <f t="shared" si="7"/>
        <v>88</v>
      </c>
      <c r="L5" s="33">
        <f t="shared" si="8"/>
        <v>42</v>
      </c>
      <c r="M5" s="33">
        <f t="shared" si="9"/>
        <v>7</v>
      </c>
      <c r="N5" s="33">
        <f t="shared" si="10"/>
        <v>41</v>
      </c>
      <c r="O5" s="33">
        <f t="shared" si="11"/>
        <v>81</v>
      </c>
      <c r="P5" s="33">
        <f t="shared" si="12"/>
        <v>7</v>
      </c>
      <c r="Q5" s="33">
        <f t="shared" si="13"/>
        <v>30</v>
      </c>
      <c r="R5" s="33">
        <f t="shared" si="14"/>
        <v>72</v>
      </c>
      <c r="S5" s="33">
        <f t="shared" si="15"/>
        <v>0</v>
      </c>
      <c r="T5" s="33">
        <f t="shared" si="16"/>
        <v>0</v>
      </c>
      <c r="U5" s="33">
        <f t="shared" si="17"/>
        <v>0</v>
      </c>
      <c r="V5" s="33">
        <f t="shared" si="18"/>
        <v>0</v>
      </c>
      <c r="W5" s="33">
        <f t="shared" si="19"/>
        <v>0</v>
      </c>
      <c r="X5" s="33">
        <f t="shared" si="20"/>
        <v>0</v>
      </c>
      <c r="AE5" s="71"/>
      <c r="AF5" s="71"/>
      <c r="AG5" s="71"/>
    </row>
    <row r="6" spans="1:33" ht="12.75">
      <c r="A6" s="128">
        <v>5</v>
      </c>
      <c r="B6" t="s">
        <v>63</v>
      </c>
      <c r="C6" s="71" t="s">
        <v>69</v>
      </c>
      <c r="D6" s="33">
        <f t="shared" si="0"/>
        <v>20</v>
      </c>
      <c r="E6" s="33">
        <f t="shared" si="1"/>
        <v>66</v>
      </c>
      <c r="F6" s="33">
        <f t="shared" si="2"/>
        <v>37</v>
      </c>
      <c r="G6" s="33">
        <f t="shared" si="3"/>
        <v>17</v>
      </c>
      <c r="H6" s="33">
        <f t="shared" si="4"/>
        <v>0</v>
      </c>
      <c r="I6" s="33">
        <f t="shared" si="5"/>
        <v>0</v>
      </c>
      <c r="J6" s="33">
        <f t="shared" si="6"/>
        <v>10</v>
      </c>
      <c r="K6" s="33">
        <f t="shared" si="7"/>
        <v>25</v>
      </c>
      <c r="L6" s="33">
        <f t="shared" si="8"/>
        <v>53</v>
      </c>
      <c r="M6" s="33">
        <f t="shared" si="9"/>
        <v>24</v>
      </c>
      <c r="N6" s="33">
        <f t="shared" si="10"/>
        <v>82</v>
      </c>
      <c r="O6" s="33">
        <f t="shared" si="11"/>
        <v>34</v>
      </c>
      <c r="P6" s="33">
        <f t="shared" si="12"/>
        <v>15</v>
      </c>
      <c r="Q6" s="33">
        <f t="shared" si="13"/>
        <v>48</v>
      </c>
      <c r="R6" s="33">
        <f t="shared" si="14"/>
        <v>48</v>
      </c>
      <c r="S6" s="33">
        <f t="shared" si="15"/>
        <v>0</v>
      </c>
      <c r="T6" s="33">
        <f t="shared" si="16"/>
        <v>0</v>
      </c>
      <c r="U6" s="33">
        <f t="shared" si="17"/>
        <v>0</v>
      </c>
      <c r="V6" s="33">
        <f t="shared" si="18"/>
        <v>0</v>
      </c>
      <c r="W6" s="33">
        <f t="shared" si="19"/>
        <v>0</v>
      </c>
      <c r="X6" s="33">
        <f t="shared" si="20"/>
        <v>0</v>
      </c>
      <c r="AE6" s="71"/>
      <c r="AF6" s="71"/>
      <c r="AG6" s="71"/>
    </row>
    <row r="7" spans="1:33" ht="12.75">
      <c r="A7" s="128">
        <v>6</v>
      </c>
      <c r="B7" t="s">
        <v>64</v>
      </c>
      <c r="C7" s="71" t="s">
        <v>70</v>
      </c>
      <c r="D7" s="33">
        <f t="shared" si="0"/>
        <v>13</v>
      </c>
      <c r="E7" s="33">
        <f t="shared" si="1"/>
        <v>42</v>
      </c>
      <c r="F7" s="33">
        <f t="shared" si="2"/>
        <v>53</v>
      </c>
      <c r="G7" s="33">
        <f t="shared" si="3"/>
        <v>15</v>
      </c>
      <c r="H7" s="33">
        <f t="shared" si="4"/>
        <v>59</v>
      </c>
      <c r="I7" s="33">
        <f t="shared" si="5"/>
        <v>56</v>
      </c>
      <c r="J7" s="33">
        <f t="shared" si="6"/>
        <v>20</v>
      </c>
      <c r="K7" s="33">
        <f t="shared" si="7"/>
        <v>53</v>
      </c>
      <c r="L7" s="33">
        <f t="shared" si="8"/>
        <v>25</v>
      </c>
      <c r="M7" s="33">
        <f t="shared" si="9"/>
        <v>17</v>
      </c>
      <c r="N7" s="33">
        <f t="shared" si="10"/>
        <v>0</v>
      </c>
      <c r="O7" s="33">
        <f t="shared" si="11"/>
        <v>0</v>
      </c>
      <c r="P7" s="33">
        <f t="shared" si="12"/>
        <v>20</v>
      </c>
      <c r="Q7" s="33">
        <f t="shared" si="13"/>
        <v>73</v>
      </c>
      <c r="R7" s="33">
        <f t="shared" si="14"/>
        <v>45</v>
      </c>
      <c r="S7" s="33">
        <f t="shared" si="15"/>
        <v>0</v>
      </c>
      <c r="T7" s="33">
        <f t="shared" si="16"/>
        <v>0</v>
      </c>
      <c r="U7" s="33">
        <f t="shared" si="17"/>
        <v>0</v>
      </c>
      <c r="V7" s="33">
        <f t="shared" si="18"/>
        <v>0</v>
      </c>
      <c r="W7" s="33">
        <f t="shared" si="19"/>
        <v>0</v>
      </c>
      <c r="X7" s="33">
        <f t="shared" si="20"/>
        <v>0</v>
      </c>
      <c r="AE7" s="71"/>
      <c r="AF7" s="71"/>
      <c r="AG7" s="71"/>
    </row>
    <row r="8" spans="1:33" ht="12.75">
      <c r="A8" s="128">
        <v>7</v>
      </c>
      <c r="B8" t="s">
        <v>65</v>
      </c>
      <c r="C8" s="71" t="s">
        <v>71</v>
      </c>
      <c r="D8" s="33">
        <f t="shared" si="0"/>
        <v>6</v>
      </c>
      <c r="E8" s="33">
        <f t="shared" si="1"/>
        <v>36</v>
      </c>
      <c r="F8" s="33">
        <f t="shared" si="2"/>
        <v>86</v>
      </c>
      <c r="G8" s="33">
        <f t="shared" si="3"/>
        <v>18</v>
      </c>
      <c r="H8" s="33">
        <f t="shared" si="4"/>
        <v>62</v>
      </c>
      <c r="I8" s="33">
        <f t="shared" si="5"/>
        <v>44</v>
      </c>
      <c r="J8" s="33">
        <f t="shared" si="6"/>
        <v>6</v>
      </c>
      <c r="K8" s="33">
        <f t="shared" si="7"/>
        <v>42</v>
      </c>
      <c r="L8" s="33">
        <f t="shared" si="8"/>
        <v>88</v>
      </c>
      <c r="M8" s="33">
        <f t="shared" si="9"/>
        <v>6</v>
      </c>
      <c r="N8" s="33">
        <f t="shared" si="10"/>
        <v>34</v>
      </c>
      <c r="O8" s="33">
        <f t="shared" si="11"/>
        <v>82</v>
      </c>
      <c r="P8" s="33">
        <f t="shared" si="12"/>
        <v>10</v>
      </c>
      <c r="Q8" s="33">
        <f t="shared" si="13"/>
        <v>45</v>
      </c>
      <c r="R8" s="33">
        <f t="shared" si="14"/>
        <v>73</v>
      </c>
      <c r="S8" s="33">
        <f t="shared" si="15"/>
        <v>0</v>
      </c>
      <c r="T8" s="33">
        <f t="shared" si="16"/>
        <v>0</v>
      </c>
      <c r="U8" s="33">
        <f t="shared" si="17"/>
        <v>0</v>
      </c>
      <c r="V8" s="33">
        <f t="shared" si="18"/>
        <v>0</v>
      </c>
      <c r="W8" s="33">
        <f t="shared" si="19"/>
        <v>0</v>
      </c>
      <c r="X8" s="33">
        <f t="shared" si="20"/>
        <v>0</v>
      </c>
      <c r="AE8" s="71"/>
      <c r="AF8" s="71"/>
      <c r="AG8" s="71"/>
    </row>
    <row r="9" spans="1:33" ht="12.75">
      <c r="A9" s="128">
        <v>8</v>
      </c>
      <c r="B9" s="71" t="s">
        <v>60</v>
      </c>
      <c r="C9" s="71" t="s">
        <v>72</v>
      </c>
      <c r="D9" s="33">
        <f>INDEX(Kamp1,HLOOKUP($A9,KampTab1,ROWS(KampTab1)-1,FALSE),C_V+HLOOKUP($A9,KampTab1,ROWS(KampTab1),FALSE))</f>
        <v>0</v>
      </c>
      <c r="E9" s="33">
        <f>INDEX(Kamp1,HLOOKUP($A9,KampTab1,ROWS(KampTab1)-1,FALSE),C_I+HLOOKUP($A9,KampTab1,ROWS(KampTab1),FALSE))</f>
        <v>0</v>
      </c>
      <c r="F9" s="33">
        <f>INDEX(Kamp1,HLOOKUP($A9,KampTab1,ROWS(KampTab1)-1,FALSE),C_I-HLOOKUP($A9,KampTab1,ROWS(KampTab1),FALSE))</f>
        <v>0</v>
      </c>
      <c r="G9" s="33">
        <f>INDEX(Kamp2,HLOOKUP($A9,KampTab2,ROWS(KampTab2)-1,FALSE),C_V+HLOOKUP($A9,KampTab2,ROWS(KampTab2),FALSE))</f>
        <v>0</v>
      </c>
      <c r="H9" s="33">
        <f>INDEX(Kamp2,HLOOKUP($A9,KampTab2,ROWS(KampTab2)-1,FALSE),C_I+HLOOKUP($A9,KampTab2,ROWS(KampTab2),FALSE))</f>
        <v>0</v>
      </c>
      <c r="I9" s="33">
        <f>INDEX(Kamp2,HLOOKUP($A9,KampTab2,ROWS(KampTab2)-1,FALSE),C_I-HLOOKUP($A9,KampTab2,ROWS(KampTab2),FALSE))</f>
        <v>0</v>
      </c>
      <c r="J9" s="33">
        <f>INDEX(Kamp3,HLOOKUP($A9,KampTab3,ROWS(KampTab3)-1,FALSE),C_V+HLOOKUP($A9,KampTab3,ROWS(KampTab3),FALSE))</f>
        <v>0</v>
      </c>
      <c r="K9" s="33">
        <f>INDEX(Kamp3,HLOOKUP($A9,KampTab3,ROWS(KampTab3)-1,FALSE),C_I+HLOOKUP($A9,KampTab3,ROWS(KampTab3),FALSE))</f>
        <v>0</v>
      </c>
      <c r="L9" s="33">
        <f>INDEX(Kamp3,HLOOKUP($A9,KampTab3,ROWS(KampTab3)-1,FALSE),C_I-HLOOKUP($A9,KampTab3,ROWS(KampTab3),FALSE))</f>
        <v>0</v>
      </c>
      <c r="M9" s="33">
        <f>INDEX(Kamp4,HLOOKUP($A9,KampTab4,ROWS(KampTab4)-1,FALSE),C_V+HLOOKUP($A9,KampTab4,ROWS(KampTab4),FALSE))</f>
        <v>0</v>
      </c>
      <c r="N9" s="33">
        <f>INDEX(Kamp4,HLOOKUP($A9,KampTab4,ROWS(KampTab4)-1,FALSE),C_I+HLOOKUP($A9,KampTab4,ROWS(KampTab4),FALSE))</f>
        <v>0</v>
      </c>
      <c r="O9" s="33">
        <f>INDEX(Kamp4,HLOOKUP($A9,KampTab4,ROWS(KampTab4)-1,FALSE),C_I-HLOOKUP($A9,KampTab4,ROWS(KampTab4),FALSE))</f>
        <v>0</v>
      </c>
      <c r="P9" s="33">
        <f>INDEX(Kamp5,HLOOKUP($A9,KampTab5,ROWS(KampTab5)-1,FALSE),C_V+HLOOKUP($A9,KampTab5,ROWS(KampTab5),FALSE))</f>
        <v>0</v>
      </c>
      <c r="Q9" s="33">
        <f>INDEX(Kamp5,HLOOKUP($A9,KampTab5,ROWS(KampTab5)-1,FALSE),6+HLOOKUP($A9,KampTab5,ROWS(KampTab5),FALSE))</f>
        <v>0</v>
      </c>
      <c r="R9" s="33">
        <f>INDEX(Kamp5,HLOOKUP($A9,KampTab5,ROWS(KampTab5)-1,FALSE),C_I-HLOOKUP($A9,KampTab5,ROWS(KampTab5),FALSE))</f>
        <v>0</v>
      </c>
      <c r="S9" s="33">
        <f>INDEX(Kamp6,HLOOKUP($A9,KampTab6,ROWS(KampTab6)-1,FALSE),C_V+HLOOKUP($A9,KampTab6,ROWS(KampTab6),FALSE))</f>
        <v>0</v>
      </c>
      <c r="T9" s="33">
        <f>INDEX(Kamp6,HLOOKUP($A9,KampTab6,ROWS(KampTab6)-1,FALSE),C_I+HLOOKUP($A9,KampTab6,ROWS(KampTab6),FALSE))</f>
        <v>0</v>
      </c>
      <c r="U9" s="33">
        <f>INDEX(Kamp6,HLOOKUP($A9,KampTab6,ROWS(KampTab6)-1,FALSE),C_I-HLOOKUP($A9,KampTab6,ROWS(KampTab6),FALSE))</f>
        <v>0</v>
      </c>
      <c r="V9" s="33">
        <f>INDEX(Kamp7,HLOOKUP($A9,KampTab7,ROWS(KampTab7)-1,FALSE),C_V+HLOOKUP($A9,KampTab7,ROWS(KampTab7),FALSE))</f>
        <v>0</v>
      </c>
      <c r="W9" s="33">
        <f>INDEX(Kamp7,HLOOKUP($A9,KampTab7,ROWS(KampTab7)-1,FALSE),C_I+HLOOKUP($A9,KampTab7,ROWS(KampTab7),FALSE))</f>
        <v>0</v>
      </c>
      <c r="X9" s="33">
        <f>INDEX(Kamp7,HLOOKUP($A9,KampTab7,ROWS(KampTab7)-1,FALSE),C_I-HLOOKUP($A9,KampTab7,ROWS(KampTab7),FALSE))</f>
        <v>0</v>
      </c>
      <c r="AE9" s="71"/>
      <c r="AF9" s="71"/>
      <c r="AG9" s="71"/>
    </row>
    <row r="10" spans="1:33" ht="12.75">
      <c r="A10" s="128"/>
      <c r="B10" s="71"/>
      <c r="C10" s="71"/>
      <c r="AE10" s="71"/>
      <c r="AF10" s="71"/>
      <c r="AG10" s="71"/>
    </row>
    <row r="11" spans="1:33" ht="12.75">
      <c r="A11" s="128"/>
      <c r="B11" s="71"/>
      <c r="C11" s="71"/>
      <c r="AE11" s="71"/>
      <c r="AF11" s="71"/>
      <c r="AG11" s="71"/>
    </row>
    <row r="13" spans="35:45" ht="12.75">
      <c r="AI13" s="12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6" spans="4:24" ht="12.75">
      <c r="D16" s="196" t="s">
        <v>26</v>
      </c>
      <c r="E16" s="196"/>
      <c r="F16" s="196" t="s">
        <v>27</v>
      </c>
      <c r="G16" s="196"/>
      <c r="H16" s="196" t="s">
        <v>28</v>
      </c>
      <c r="I16" s="196"/>
      <c r="J16" s="196" t="s">
        <v>29</v>
      </c>
      <c r="K16" s="196"/>
      <c r="L16" s="196"/>
      <c r="M16" s="196"/>
      <c r="N16" s="165">
        <v>8</v>
      </c>
      <c r="O16" s="165">
        <v>10</v>
      </c>
      <c r="P16" s="165">
        <v>12</v>
      </c>
      <c r="Q16" s="165">
        <v>14</v>
      </c>
      <c r="R16" s="165">
        <v>16</v>
      </c>
      <c r="S16" s="165">
        <v>20</v>
      </c>
      <c r="T16" s="165">
        <v>24</v>
      </c>
      <c r="U16" s="165">
        <v>28</v>
      </c>
      <c r="V16" s="165">
        <v>32</v>
      </c>
      <c r="W16" s="165">
        <v>36</v>
      </c>
      <c r="X16" s="165">
        <v>40</v>
      </c>
    </row>
    <row r="17" spans="3:24" ht="12.75">
      <c r="C17" s="128" t="s">
        <v>30</v>
      </c>
      <c r="D17" s="131">
        <v>2</v>
      </c>
      <c r="E17" s="131">
        <v>7</v>
      </c>
      <c r="F17" s="131">
        <v>3</v>
      </c>
      <c r="G17" s="131">
        <v>6</v>
      </c>
      <c r="H17" s="131">
        <v>4</v>
      </c>
      <c r="I17" s="131">
        <v>5</v>
      </c>
      <c r="J17" s="131">
        <v>1</v>
      </c>
      <c r="K17" s="131">
        <v>8</v>
      </c>
      <c r="L17" s="131"/>
      <c r="M17" s="131"/>
      <c r="N17" s="164">
        <v>2</v>
      </c>
      <c r="O17" s="164">
        <v>2</v>
      </c>
      <c r="P17" s="164">
        <v>2</v>
      </c>
      <c r="Q17" s="164">
        <v>3</v>
      </c>
      <c r="R17" s="164">
        <v>3</v>
      </c>
      <c r="S17" s="164">
        <v>3</v>
      </c>
      <c r="T17" s="164">
        <v>4</v>
      </c>
      <c r="U17" s="164">
        <v>4</v>
      </c>
      <c r="V17" s="164">
        <v>4</v>
      </c>
      <c r="W17" s="164">
        <v>4</v>
      </c>
      <c r="X17" s="164">
        <v>4</v>
      </c>
    </row>
    <row r="18" spans="3:24" ht="12.75">
      <c r="C18" s="128" t="s">
        <v>31</v>
      </c>
      <c r="D18" s="131">
        <v>6</v>
      </c>
      <c r="E18" s="131">
        <v>4</v>
      </c>
      <c r="F18" s="131">
        <v>7</v>
      </c>
      <c r="G18" s="131">
        <v>3</v>
      </c>
      <c r="H18" s="131">
        <v>1</v>
      </c>
      <c r="I18" s="131">
        <v>2</v>
      </c>
      <c r="J18" s="131">
        <v>8</v>
      </c>
      <c r="K18" s="131">
        <v>5</v>
      </c>
      <c r="L18" s="131"/>
      <c r="M18" s="131"/>
      <c r="N18" s="164">
        <v>6</v>
      </c>
      <c r="O18" s="164">
        <v>6</v>
      </c>
      <c r="P18" s="164">
        <v>7</v>
      </c>
      <c r="Q18" s="164">
        <v>8</v>
      </c>
      <c r="R18" s="164">
        <v>8</v>
      </c>
      <c r="S18" s="164">
        <v>9</v>
      </c>
      <c r="T18" s="164">
        <v>10</v>
      </c>
      <c r="U18" s="164">
        <v>11</v>
      </c>
      <c r="V18" s="164">
        <v>11</v>
      </c>
      <c r="W18" s="164">
        <v>12</v>
      </c>
      <c r="X18" s="164">
        <v>12</v>
      </c>
    </row>
    <row r="19" spans="3:24" ht="12.75">
      <c r="C19" s="128" t="s">
        <v>32</v>
      </c>
      <c r="D19" s="131">
        <v>3</v>
      </c>
      <c r="E19" s="131">
        <v>1</v>
      </c>
      <c r="F19" s="131">
        <v>4</v>
      </c>
      <c r="G19" s="131">
        <v>7</v>
      </c>
      <c r="H19" s="131">
        <v>5</v>
      </c>
      <c r="I19" s="131">
        <v>6</v>
      </c>
      <c r="J19" s="131">
        <v>2</v>
      </c>
      <c r="K19" s="131">
        <v>8</v>
      </c>
      <c r="L19" s="131"/>
      <c r="M19" s="131"/>
      <c r="N19" s="164">
        <v>9</v>
      </c>
      <c r="O19" s="164">
        <v>10</v>
      </c>
      <c r="P19" s="164">
        <v>10</v>
      </c>
      <c r="Q19" s="164">
        <v>11</v>
      </c>
      <c r="R19" s="164">
        <v>12</v>
      </c>
      <c r="S19" s="164">
        <v>13</v>
      </c>
      <c r="T19" s="164">
        <v>15</v>
      </c>
      <c r="U19" s="164">
        <v>16</v>
      </c>
      <c r="V19" s="164">
        <v>17</v>
      </c>
      <c r="W19" s="164">
        <v>18</v>
      </c>
      <c r="X19" s="164">
        <v>19</v>
      </c>
    </row>
    <row r="20" spans="3:24" ht="12.75">
      <c r="C20" s="128" t="s">
        <v>33</v>
      </c>
      <c r="D20" s="131">
        <v>7</v>
      </c>
      <c r="E20" s="131">
        <v>5</v>
      </c>
      <c r="F20" s="131">
        <v>1</v>
      </c>
      <c r="G20" s="131">
        <v>4</v>
      </c>
      <c r="H20" s="131">
        <v>2</v>
      </c>
      <c r="I20" s="131">
        <v>3</v>
      </c>
      <c r="J20" s="131">
        <v>8</v>
      </c>
      <c r="K20" s="131">
        <v>6</v>
      </c>
      <c r="L20" s="131"/>
      <c r="M20" s="131"/>
      <c r="N20" s="164">
        <v>12</v>
      </c>
      <c r="O20" s="164">
        <v>13</v>
      </c>
      <c r="P20" s="164">
        <v>13</v>
      </c>
      <c r="Q20" s="164">
        <v>15</v>
      </c>
      <c r="R20" s="164">
        <v>16</v>
      </c>
      <c r="S20" s="164">
        <v>17</v>
      </c>
      <c r="T20" s="164">
        <v>20</v>
      </c>
      <c r="U20" s="164">
        <v>21</v>
      </c>
      <c r="V20" s="164">
        <v>23</v>
      </c>
      <c r="W20" s="164">
        <v>24</v>
      </c>
      <c r="X20" s="164">
        <v>26</v>
      </c>
    </row>
    <row r="21" spans="3:24" ht="12.75">
      <c r="C21" s="128" t="s">
        <v>34</v>
      </c>
      <c r="D21" s="131">
        <v>4</v>
      </c>
      <c r="E21" s="131">
        <v>2</v>
      </c>
      <c r="F21" s="131">
        <v>5</v>
      </c>
      <c r="G21" s="131">
        <v>1</v>
      </c>
      <c r="H21" s="131">
        <v>6</v>
      </c>
      <c r="I21" s="131">
        <v>7</v>
      </c>
      <c r="J21" s="131">
        <v>3</v>
      </c>
      <c r="K21" s="131">
        <v>8</v>
      </c>
      <c r="L21" s="131"/>
      <c r="M21" s="131"/>
      <c r="N21" s="164">
        <v>15</v>
      </c>
      <c r="O21" s="164">
        <v>16</v>
      </c>
      <c r="P21" s="164">
        <v>17</v>
      </c>
      <c r="Q21" s="164">
        <v>19</v>
      </c>
      <c r="R21" s="164">
        <v>20</v>
      </c>
      <c r="S21" s="164">
        <v>22</v>
      </c>
      <c r="T21" s="164">
        <v>25</v>
      </c>
      <c r="U21" s="164">
        <v>26</v>
      </c>
      <c r="V21" s="164">
        <v>29</v>
      </c>
      <c r="W21" s="164">
        <v>30</v>
      </c>
      <c r="X21" s="164">
        <v>33</v>
      </c>
    </row>
    <row r="22" spans="3:24" ht="12.75">
      <c r="C22" s="128" t="s">
        <v>35</v>
      </c>
      <c r="D22" s="131">
        <v>1</v>
      </c>
      <c r="E22" s="131">
        <v>6</v>
      </c>
      <c r="F22" s="131">
        <v>2</v>
      </c>
      <c r="G22" s="131">
        <v>5</v>
      </c>
      <c r="H22" s="131">
        <v>3</v>
      </c>
      <c r="I22" s="131">
        <v>4</v>
      </c>
      <c r="J22" s="131">
        <v>8</v>
      </c>
      <c r="K22" s="131">
        <v>7</v>
      </c>
      <c r="L22" s="131"/>
      <c r="M22" s="131"/>
      <c r="N22" s="164">
        <v>18</v>
      </c>
      <c r="O22" s="164">
        <v>19</v>
      </c>
      <c r="P22" s="164">
        <v>21</v>
      </c>
      <c r="Q22" s="164">
        <v>23</v>
      </c>
      <c r="R22" s="164">
        <v>24</v>
      </c>
      <c r="S22" s="164">
        <v>27</v>
      </c>
      <c r="T22" s="164">
        <v>30</v>
      </c>
      <c r="U22" s="164">
        <v>32</v>
      </c>
      <c r="V22" s="164">
        <v>35</v>
      </c>
      <c r="W22" s="164">
        <v>37</v>
      </c>
      <c r="X22" s="164">
        <v>40</v>
      </c>
    </row>
    <row r="23" spans="3:24" ht="12.75">
      <c r="C23" s="128" t="s">
        <v>36</v>
      </c>
      <c r="D23" s="131">
        <v>5</v>
      </c>
      <c r="E23" s="131">
        <v>3</v>
      </c>
      <c r="F23" s="131">
        <v>6</v>
      </c>
      <c r="G23" s="131">
        <v>2</v>
      </c>
      <c r="H23" s="131">
        <v>7</v>
      </c>
      <c r="I23" s="131">
        <v>1</v>
      </c>
      <c r="J23" s="131">
        <v>4</v>
      </c>
      <c r="K23" s="131">
        <v>8</v>
      </c>
      <c r="L23" s="131"/>
      <c r="M23" s="131"/>
      <c r="N23" s="164">
        <v>21</v>
      </c>
      <c r="O23" s="164">
        <v>22</v>
      </c>
      <c r="P23" s="164">
        <v>25</v>
      </c>
      <c r="Q23" s="164">
        <v>27</v>
      </c>
      <c r="R23" s="164">
        <v>28</v>
      </c>
      <c r="S23" s="164">
        <v>32</v>
      </c>
      <c r="T23" s="164">
        <v>35</v>
      </c>
      <c r="U23" s="164">
        <v>38</v>
      </c>
      <c r="V23" s="164">
        <v>41</v>
      </c>
      <c r="W23" s="164">
        <v>44</v>
      </c>
      <c r="X23" s="164">
        <v>47</v>
      </c>
    </row>
    <row r="24" spans="3:24" ht="12.75">
      <c r="C24" s="128" t="s">
        <v>37</v>
      </c>
      <c r="D24" s="131">
        <v>2</v>
      </c>
      <c r="E24" s="131">
        <v>2</v>
      </c>
      <c r="F24" s="131">
        <v>3</v>
      </c>
      <c r="G24" s="131">
        <v>3</v>
      </c>
      <c r="H24" s="131">
        <v>4</v>
      </c>
      <c r="I24" s="131">
        <v>4</v>
      </c>
      <c r="J24" s="131">
        <v>5</v>
      </c>
      <c r="K24" s="131">
        <v>5</v>
      </c>
      <c r="L24" s="131"/>
      <c r="M24" s="131"/>
      <c r="N24" s="164">
        <v>24</v>
      </c>
      <c r="O24" s="164">
        <v>25</v>
      </c>
      <c r="P24" s="164">
        <v>29</v>
      </c>
      <c r="Q24" s="164">
        <v>31</v>
      </c>
      <c r="R24" s="164">
        <v>32</v>
      </c>
      <c r="S24" s="164">
        <v>37</v>
      </c>
      <c r="T24" s="164">
        <v>40</v>
      </c>
      <c r="U24" s="164">
        <v>44</v>
      </c>
      <c r="V24" s="164">
        <v>47</v>
      </c>
      <c r="W24" s="164">
        <v>51</v>
      </c>
      <c r="X24" s="164">
        <v>54</v>
      </c>
    </row>
    <row r="25" spans="3:24" ht="12.75">
      <c r="C25" s="128" t="s">
        <v>38</v>
      </c>
      <c r="D25" s="132">
        <v>-1</v>
      </c>
      <c r="E25" s="132">
        <v>1</v>
      </c>
      <c r="F25" s="132">
        <v>-1</v>
      </c>
      <c r="G25" s="132">
        <v>1</v>
      </c>
      <c r="H25" s="132">
        <v>-1</v>
      </c>
      <c r="I25" s="132">
        <v>1</v>
      </c>
      <c r="J25" s="132">
        <v>-1</v>
      </c>
      <c r="K25" s="132">
        <v>1</v>
      </c>
      <c r="L25" s="131"/>
      <c r="M25" s="131"/>
      <c r="N25" s="164">
        <v>27</v>
      </c>
      <c r="O25" s="164">
        <v>28</v>
      </c>
      <c r="P25" s="164">
        <v>33</v>
      </c>
      <c r="Q25" s="164">
        <v>35</v>
      </c>
      <c r="R25" s="164">
        <v>37</v>
      </c>
      <c r="S25" s="164">
        <v>42</v>
      </c>
      <c r="T25" s="164">
        <v>46</v>
      </c>
      <c r="U25" s="164">
        <v>50</v>
      </c>
      <c r="V25" s="164">
        <v>53</v>
      </c>
      <c r="W25" s="164">
        <v>58</v>
      </c>
      <c r="X25" s="164">
        <v>61</v>
      </c>
    </row>
    <row r="26" spans="12:24" ht="12.75">
      <c r="L26" s="131"/>
      <c r="M26" s="131"/>
      <c r="N26" s="164">
        <v>30</v>
      </c>
      <c r="O26" s="164">
        <v>32</v>
      </c>
      <c r="P26" s="164">
        <v>37</v>
      </c>
      <c r="Q26" s="164">
        <v>39</v>
      </c>
      <c r="R26" s="164">
        <v>42</v>
      </c>
      <c r="S26" s="164">
        <v>48</v>
      </c>
      <c r="T26" s="164">
        <v>52</v>
      </c>
      <c r="U26" s="164">
        <v>56</v>
      </c>
      <c r="V26" s="164">
        <v>59</v>
      </c>
      <c r="W26" s="164">
        <v>65</v>
      </c>
      <c r="X26" s="164">
        <v>69</v>
      </c>
    </row>
    <row r="27" spans="12:24" ht="12.75">
      <c r="L27" s="132"/>
      <c r="M27" s="132"/>
      <c r="N27" s="164">
        <v>34</v>
      </c>
      <c r="O27" s="164">
        <v>37</v>
      </c>
      <c r="P27" s="164">
        <v>41</v>
      </c>
      <c r="Q27" s="164">
        <v>44</v>
      </c>
      <c r="R27" s="164">
        <v>47</v>
      </c>
      <c r="S27" s="164">
        <v>54</v>
      </c>
      <c r="T27" s="164">
        <v>58</v>
      </c>
      <c r="U27" s="164">
        <v>62</v>
      </c>
      <c r="V27" s="164">
        <v>66</v>
      </c>
      <c r="W27" s="164">
        <v>72</v>
      </c>
      <c r="X27" s="164">
        <v>77</v>
      </c>
    </row>
    <row r="28" spans="14:24" ht="12.75">
      <c r="N28" s="164">
        <v>38</v>
      </c>
      <c r="O28" s="164">
        <v>41</v>
      </c>
      <c r="P28" s="164">
        <v>46</v>
      </c>
      <c r="Q28" s="164">
        <v>49</v>
      </c>
      <c r="R28" s="164">
        <v>53</v>
      </c>
      <c r="S28" s="164">
        <v>60</v>
      </c>
      <c r="T28" s="164">
        <v>65</v>
      </c>
      <c r="U28" s="164">
        <v>69</v>
      </c>
      <c r="V28" s="164">
        <v>74</v>
      </c>
      <c r="W28" s="164">
        <v>80</v>
      </c>
      <c r="X28" s="164">
        <v>85</v>
      </c>
    </row>
    <row r="29" spans="14:24" ht="12.75">
      <c r="N29" s="164">
        <v>42</v>
      </c>
      <c r="O29" s="164">
        <v>16</v>
      </c>
      <c r="P29" s="164">
        <v>51</v>
      </c>
      <c r="Q29" s="164">
        <v>55</v>
      </c>
      <c r="R29" s="164">
        <v>59</v>
      </c>
      <c r="S29" s="164">
        <v>66</v>
      </c>
      <c r="T29" s="164">
        <v>72</v>
      </c>
      <c r="U29" s="164">
        <v>77</v>
      </c>
      <c r="V29" s="164">
        <v>83</v>
      </c>
      <c r="W29" s="164">
        <v>89</v>
      </c>
      <c r="X29" s="164">
        <v>94</v>
      </c>
    </row>
    <row r="30" spans="14:24" ht="12.75">
      <c r="N30" s="164">
        <v>46</v>
      </c>
      <c r="O30" s="164">
        <v>51</v>
      </c>
      <c r="P30" s="164">
        <v>56</v>
      </c>
      <c r="Q30" s="164">
        <v>61</v>
      </c>
      <c r="R30" s="164">
        <v>65</v>
      </c>
      <c r="S30" s="164">
        <v>73</v>
      </c>
      <c r="T30" s="164">
        <v>80</v>
      </c>
      <c r="U30" s="164">
        <v>86</v>
      </c>
      <c r="V30" s="164">
        <v>92</v>
      </c>
      <c r="W30" s="164">
        <v>98</v>
      </c>
      <c r="X30" s="164">
        <v>103</v>
      </c>
    </row>
    <row r="31" spans="14:24" ht="12.75">
      <c r="N31" s="164">
        <v>51</v>
      </c>
      <c r="O31" s="164">
        <v>56</v>
      </c>
      <c r="P31" s="164">
        <v>62</v>
      </c>
      <c r="Q31" s="164">
        <v>67</v>
      </c>
      <c r="R31" s="164">
        <v>72</v>
      </c>
      <c r="S31" s="164">
        <v>80</v>
      </c>
      <c r="T31" s="164">
        <v>88</v>
      </c>
      <c r="U31" s="164">
        <v>95</v>
      </c>
      <c r="V31" s="164">
        <v>101</v>
      </c>
      <c r="W31" s="164">
        <v>107</v>
      </c>
      <c r="X31" s="164">
        <v>113</v>
      </c>
    </row>
    <row r="33" ht="13.5" thickBot="1"/>
    <row r="34" spans="2:4" ht="13.5" thickBot="1">
      <c r="B34" s="191" t="s">
        <v>42</v>
      </c>
      <c r="C34" s="192"/>
      <c r="D34" s="166">
        <v>24</v>
      </c>
    </row>
    <row r="35" spans="2:21" ht="13.5" thickBot="1">
      <c r="B35" s="191" t="s">
        <v>43</v>
      </c>
      <c r="C35" s="191"/>
      <c r="D35" s="193" t="s">
        <v>56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5"/>
    </row>
    <row r="36" spans="2:21" ht="13.5" thickBot="1">
      <c r="B36" s="191" t="s">
        <v>44</v>
      </c>
      <c r="C36" s="191"/>
      <c r="D36" s="193" t="s">
        <v>45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5"/>
    </row>
  </sheetData>
  <sheetProtection/>
  <mergeCells count="19">
    <mergeCell ref="D1:F1"/>
    <mergeCell ref="G1:I1"/>
    <mergeCell ref="J1:L1"/>
    <mergeCell ref="V1:X1"/>
    <mergeCell ref="Y1:AA1"/>
    <mergeCell ref="AB1:AD1"/>
    <mergeCell ref="M1:O1"/>
    <mergeCell ref="P1:R1"/>
    <mergeCell ref="S1:U1"/>
    <mergeCell ref="B34:C34"/>
    <mergeCell ref="B35:C35"/>
    <mergeCell ref="D35:U35"/>
    <mergeCell ref="B36:C36"/>
    <mergeCell ref="D36:U36"/>
    <mergeCell ref="L16:M16"/>
    <mergeCell ref="D16:E16"/>
    <mergeCell ref="F16:G16"/>
    <mergeCell ref="H16:I16"/>
    <mergeCell ref="J16:K16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Knut Atle Seim</cp:lastModifiedBy>
  <cp:lastPrinted>2011-11-10T15:20:45Z</cp:lastPrinted>
  <dcterms:created xsi:type="dcterms:W3CDTF">2000-11-03T17:19:40Z</dcterms:created>
  <dcterms:modified xsi:type="dcterms:W3CDTF">2011-11-15T18:11:45Z</dcterms:modified>
  <cp:category/>
  <cp:version/>
  <cp:contentType/>
  <cp:contentStatus/>
</cp:coreProperties>
</file>